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utostrade-my.sharepoint.com/personal/alberto_boellis_autostrade_it/Documents/AIM - Affidamenti Impianti centrali e DDTT/7_GARE SERVIZI 2024/DI/425507_PROG e CSP IMP_DOLCI/BOZZE NUOVA GARA/Allegati al Disc/"/>
    </mc:Choice>
  </mc:AlternateContent>
  <xr:revisionPtr revIDLastSave="5" documentId="11_F25DC773A252ABDACC1048F0F11B61625ADE58F3" xr6:coauthVersionLast="47" xr6:coauthVersionMax="47" xr10:uidLastSave="{B5F7B894-833C-4374-98DD-E0A086C014EE}"/>
  <bookViews>
    <workbookView xWindow="28680" yWindow="-120" windowWidth="29040" windowHeight="1584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0" i="1" l="1"/>
  <c r="K30" i="1"/>
  <c r="J29" i="1"/>
  <c r="I29" i="1" s="1"/>
  <c r="H29" i="1"/>
  <c r="G29" i="1"/>
  <c r="F29" i="1"/>
  <c r="C29" i="1"/>
  <c r="U28" i="1"/>
  <c r="K28" i="1"/>
  <c r="J27" i="1"/>
  <c r="I27" i="1" s="1"/>
  <c r="H27" i="1"/>
  <c r="G27" i="1"/>
  <c r="F27" i="1"/>
  <c r="P26" i="1"/>
  <c r="J26" i="1"/>
  <c r="I26" i="1"/>
  <c r="N26" i="1" s="1"/>
  <c r="H26" i="1"/>
  <c r="G26" i="1"/>
  <c r="F26" i="1"/>
  <c r="J25" i="1"/>
  <c r="I25" i="1" s="1"/>
  <c r="H25" i="1"/>
  <c r="G25" i="1"/>
  <c r="F25" i="1"/>
  <c r="U24" i="1"/>
  <c r="K24" i="1"/>
  <c r="N23" i="1"/>
  <c r="J23" i="1"/>
  <c r="I23" i="1"/>
  <c r="H23" i="1"/>
  <c r="G23" i="1"/>
  <c r="F23" i="1"/>
  <c r="J22" i="1"/>
  <c r="I22" i="1" s="1"/>
  <c r="H22" i="1"/>
  <c r="G22" i="1"/>
  <c r="F22" i="1"/>
  <c r="U21" i="1"/>
  <c r="K21" i="1"/>
  <c r="J20" i="1"/>
  <c r="I20" i="1"/>
  <c r="P20" i="1" s="1"/>
  <c r="H20" i="1"/>
  <c r="G20" i="1"/>
  <c r="F20" i="1"/>
  <c r="P19" i="1"/>
  <c r="N19" i="1"/>
  <c r="J19" i="1"/>
  <c r="I19" i="1"/>
  <c r="O19" i="1" s="1"/>
  <c r="P18" i="1"/>
  <c r="T18" i="1" s="1"/>
  <c r="W18" i="1" s="1"/>
  <c r="N18" i="1"/>
  <c r="O18" i="1" s="1"/>
  <c r="J18" i="1"/>
  <c r="I18" i="1"/>
  <c r="N17" i="1"/>
  <c r="J17" i="1"/>
  <c r="I17" i="1"/>
  <c r="C17" i="1"/>
  <c r="P25" i="1" l="1"/>
  <c r="N25" i="1"/>
  <c r="O25" i="1" s="1"/>
  <c r="T25" i="1"/>
  <c r="W25" i="1" s="1"/>
  <c r="I28" i="1"/>
  <c r="O29" i="1"/>
  <c r="Q18" i="1"/>
  <c r="R18" i="1" s="1"/>
  <c r="V18" i="1" s="1"/>
  <c r="O27" i="1"/>
  <c r="N29" i="1"/>
  <c r="P29" i="1"/>
  <c r="T29" i="1"/>
  <c r="W29" i="1" s="1"/>
  <c r="W30" i="1" s="1"/>
  <c r="I30" i="1"/>
  <c r="Q19" i="1"/>
  <c r="R19" i="1"/>
  <c r="V19" i="1" s="1"/>
  <c r="P27" i="1"/>
  <c r="N27" i="1"/>
  <c r="T27" i="1" s="1"/>
  <c r="W27" i="1" s="1"/>
  <c r="I24" i="1"/>
  <c r="P22" i="1"/>
  <c r="N22" i="1"/>
  <c r="O22" i="1" s="1"/>
  <c r="T17" i="1"/>
  <c r="W17" i="1" s="1"/>
  <c r="O26" i="1"/>
  <c r="P23" i="1"/>
  <c r="T23" i="1" s="1"/>
  <c r="W23" i="1" s="1"/>
  <c r="T26" i="1"/>
  <c r="W26" i="1" s="1"/>
  <c r="P17" i="1"/>
  <c r="T19" i="1"/>
  <c r="W19" i="1" s="1"/>
  <c r="N20" i="1"/>
  <c r="T20" i="1" s="1"/>
  <c r="W20" i="1" s="1"/>
  <c r="C22" i="1"/>
  <c r="O17" i="1"/>
  <c r="O23" i="1"/>
  <c r="I21" i="1"/>
  <c r="C25" i="1"/>
  <c r="Q22" i="1" l="1"/>
  <c r="R22" i="1" s="1"/>
  <c r="V22" i="1" s="1"/>
  <c r="V24" i="1" s="1"/>
  <c r="Q25" i="1"/>
  <c r="R25" i="1" s="1"/>
  <c r="V25" i="1" s="1"/>
  <c r="O20" i="1"/>
  <c r="Q29" i="1"/>
  <c r="R29" i="1" s="1"/>
  <c r="V29" i="1" s="1"/>
  <c r="V30" i="1" s="1"/>
  <c r="W21" i="1"/>
  <c r="W28" i="1"/>
  <c r="T22" i="1"/>
  <c r="W22" i="1" s="1"/>
  <c r="W24" i="1" s="1"/>
  <c r="R23" i="1"/>
  <c r="V23" i="1" s="1"/>
  <c r="Q23" i="1"/>
  <c r="Q17" i="1"/>
  <c r="R17" i="1" s="1"/>
  <c r="V17" i="1" s="1"/>
  <c r="Q26" i="1"/>
  <c r="R26" i="1"/>
  <c r="V26" i="1" s="1"/>
  <c r="Q27" i="1"/>
  <c r="R27" i="1" s="1"/>
  <c r="V27" i="1" s="1"/>
  <c r="X29" i="1" l="1"/>
  <c r="X30" i="1" s="1"/>
  <c r="V28" i="1"/>
  <c r="X22" i="1"/>
  <c r="X24" i="1" s="1"/>
  <c r="Y22" i="1"/>
  <c r="Y24" i="1" s="1"/>
  <c r="R20" i="1"/>
  <c r="V20" i="1" s="1"/>
  <c r="V21" i="1" s="1"/>
  <c r="Q20" i="1"/>
  <c r="X17" i="1" l="1"/>
  <c r="X21" i="1" s="1"/>
  <c r="AC20" i="1" s="1"/>
  <c r="Y17" i="1"/>
  <c r="Y21" i="1" s="1"/>
  <c r="F14" i="1" s="1"/>
  <c r="Y25" i="1"/>
  <c r="Y28" i="1" s="1"/>
  <c r="X25" i="1"/>
  <c r="X28" i="1" s="1"/>
  <c r="Y29" i="1"/>
  <c r="Y30" i="1" s="1"/>
</calcChain>
</file>

<file path=xl/sharedStrings.xml><?xml version="1.0" encoding="utf-8"?>
<sst xmlns="http://schemas.openxmlformats.org/spreadsheetml/2006/main" count="79" uniqueCount="52">
  <si>
    <t>Allegato - Determinazione corrispettivi</t>
  </si>
  <si>
    <r>
      <rPr>
        <b/>
        <sz val="12"/>
        <rFont val="Calibri"/>
        <family val="2"/>
        <scheme val="minor"/>
      </rPr>
      <t>Servizi di Progettazione e Coordinamento della Sicurezza in fase di Progettazione da eseguirsi sulla rete autostradale del territorio italiano gestita in concessione da Autostrade per l’Italia S.p.A.</t>
    </r>
    <r>
      <rPr>
        <sz val="12"/>
        <rFont val="Calibri"/>
        <family val="2"/>
        <scheme val="minor"/>
      </rPr>
      <t xml:space="preserve">
L’importo a base di gara dei servizi di progettazione è stato calcolato ai sensi del decreto Ministro della giustizia 17 giugno 2016 “Approvazione delle Tabelle dei corrispettivi commisurati a livello qualitativo delle prestazioni di progettazione adottato ai sensi dell’art. 24, comma 8 del Codice”. Ai fini esclusivi del calcolo della base di gara sono stati considerati il taglio medio degli interventi e le prestazioni indicati nelle relative colonne. La SA si riserva di richiedere prestazioni differenti, nell'ambito delle famiglie PROGETTAZIONE b.I) b.II) e b.III). In relazione ad opere non riconducibili a categorie e/o a prestazioni indicate nel presente allegato, per le quali si rendono necessari i servizi oggetto della presente procedura, la SA si riserva la facoltà di esplicitare tali interventi nelle Richieste di Servizio e nei Contratti Attuativi che indicheranno di volta in volta le categorie e le prestazioni di riferimento del D.M. 17 giugno 2016.</t>
    </r>
  </si>
  <si>
    <t xml:space="preserve">Importo complessivo appalto </t>
  </si>
  <si>
    <t>Lotto</t>
  </si>
  <si>
    <t>DDTT</t>
  </si>
  <si>
    <t>Importo lavori</t>
  </si>
  <si>
    <t>Descrizione Opere</t>
  </si>
  <si>
    <t>ID opere</t>
  </si>
  <si>
    <t>Descrizione</t>
  </si>
  <si>
    <t>Corrispondenza L. 143/49</t>
  </si>
  <si>
    <t>Grado di complessità (G)</t>
  </si>
  <si>
    <t>Taglio medio interventi (V)</t>
  </si>
  <si>
    <t>Importo per classe</t>
  </si>
  <si>
    <t>Incidenza importo su totale</t>
  </si>
  <si>
    <t>Prestazioni
DM 17/06/2016</t>
  </si>
  <si>
    <t>Q</t>
  </si>
  <si>
    <t>P</t>
  </si>
  <si>
    <t>Corrispettivo netto
(CP)</t>
  </si>
  <si>
    <t>Spese e oneri %</t>
  </si>
  <si>
    <t>Spese e oneri €
(S)</t>
  </si>
  <si>
    <t>Corrispettivo (CP) + Spese (S)</t>
  </si>
  <si>
    <t>Q del CSP</t>
  </si>
  <si>
    <t>di cui CSP</t>
  </si>
  <si>
    <t>N° medio presunto interventi
(M)</t>
  </si>
  <si>
    <t>CP+S per n° medio presunto interventi</t>
  </si>
  <si>
    <t>Oneri per la sicurezza</t>
  </si>
  <si>
    <t>TOTALE LOTTO</t>
  </si>
  <si>
    <t>TARGET</t>
  </si>
  <si>
    <t>Lotto 1
Impianti elettrici, di illuminazione, di climatizzazione e antincendio</t>
  </si>
  <si>
    <t>Intera rete</t>
  </si>
  <si>
    <t>Manutenzioni evolutive e/o nuove installazioni di impianti</t>
  </si>
  <si>
    <t>IA.02</t>
  </si>
  <si>
    <t>Impianti di riscaldamento - Impianto di raffrescamento, climatizzazione, trattamento dell’aria - Impianti meccanici di distribuzione fluidi - Impianto solare termico</t>
  </si>
  <si>
    <t>III/b</t>
  </si>
  <si>
    <t>QbII.01, QbII.05, QbII.18, QbII.21, QbII.22, QbIII.01, QbIII.02, QbIII.03, QbIII.04, QbIII.05, QbIII.06, QbIII.07</t>
  </si>
  <si>
    <t>IA.03</t>
  </si>
  <si>
    <t>Impianti elettrici in genere, impianti di illuminazione, telefonici, di rivelazione incendi, fotovoltaici, a corredo di edifici e costruzioni di importanza corrente - singole apparecchiature per laboratori e impianti pilota di tipo semplice</t>
  </si>
  <si>
    <t>III/c</t>
  </si>
  <si>
    <t>IA.04</t>
  </si>
  <si>
    <t>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t>
  </si>
  <si>
    <t>S.04</t>
  </si>
  <si>
    <t>QbII.01, QbII.02, QbII.03, QbII.04, QbII.06, QbII.07, QbII.09, QbII.12, QbII.13, QbII.17, QbII.19, QbII.05, QbIII.01, QbIII.02, QbIII.03, QbIII.04, QbIII.05, QbIII.06, QbIII.07.</t>
  </si>
  <si>
    <t>Importo lavori totale lotto</t>
  </si>
  <si>
    <t>Importo CP+S totale lotto</t>
  </si>
  <si>
    <t>x</t>
  </si>
  <si>
    <t>Lotto 2
Impianti tecnologici in galleria</t>
  </si>
  <si>
    <t>IA.01</t>
  </si>
  <si>
    <t>QaI.03, QaII.01, QbI.02, QbI.16, QbII.02, QbII.04, QbII.05, QbII.06, QbII.07, QbII.12, QbII.15, QbII.18, QbII.19, QbII.20, QbIII.01, QbIII.02, QbIII.03, QbIII.04, QbIII.05, QbIII.06, QbIII.07</t>
  </si>
  <si>
    <t>Lotto 3
Impianti di viabilità</t>
  </si>
  <si>
    <t>QbI.01, QbI.02, QbI.12, QbI.16, QbI.21, QbII.01, QbII.02, QbII.03, QbII.04, QbII.06, QbII.07, QbII.09, QbII.12, QbII.13, QbII.17, QbII.19, QbII.05, QbIII.01, QbIII.02, QbIII.03, QbIII.04, QbIII.05, QbIII.06, QbIII.07.</t>
  </si>
  <si>
    <t>T.02</t>
  </si>
  <si>
    <t>Lotto 4
Impianti di esazione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</si>
</sst>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0.000%"/>
    <numFmt numFmtId="165" formatCode="_-* #,##0.000_-;\-* #,##0.000_-;_-* &quot;-&quot;??_-;_-@_-"/>
    <numFmt numFmtId="166" formatCode="_-* #,##0.0_-;\-* #,##0.0_-;_-* &quot;-&quot;??_-;_-@_-"/>
    <numFmt numFmtId="167" formatCode="0.0%"/>
    <numFmt numFmtId="168" formatCode="0.000"/>
    <numFmt numFmtId="169"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b/>
      <sz val="18"/>
      <color theme="1"/>
      <name val="Calibri"/>
      <family val="2"/>
      <scheme val="minor"/>
    </font>
    <font>
      <sz val="12"/>
      <name val="Calibri"/>
      <family val="2"/>
      <scheme val="minor"/>
    </font>
    <font>
      <b/>
      <sz val="12"/>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sz val="11"/>
      <color rgb="FF000000"/>
      <name val="Calibri"/>
      <family val="2"/>
    </font>
    <font>
      <b/>
      <sz val="10"/>
      <name val="Arial"/>
      <family val="2"/>
    </font>
    <font>
      <b/>
      <i/>
      <sz val="9"/>
      <color theme="1"/>
      <name val="Calibri"/>
      <family val="2"/>
      <scheme val="minor"/>
    </font>
    <font>
      <i/>
      <sz val="9"/>
      <color theme="1"/>
      <name val="Calibri"/>
      <family val="2"/>
      <scheme val="minor"/>
    </font>
    <font>
      <sz val="11"/>
      <color theme="1"/>
      <name val="Arial"/>
      <family val="2"/>
    </font>
    <font>
      <sz val="11"/>
      <color rgb="FF0070C0"/>
      <name val="Calibri"/>
      <family val="2"/>
      <scheme val="minor"/>
    </font>
    <font>
      <b/>
      <sz val="11"/>
      <color rgb="FF0070C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93">
    <xf numFmtId="0" fontId="0" fillId="0" borderId="0" xfId="0"/>
    <xf numFmtId="44" fontId="0" fillId="0" borderId="0" xfId="2" applyFont="1" applyBorder="1"/>
    <xf numFmtId="0" fontId="3" fillId="0" borderId="0" xfId="0" applyFont="1" applyAlignment="1">
      <alignment horizontal="center"/>
    </xf>
    <xf numFmtId="0" fontId="3" fillId="0" borderId="0" xfId="0" applyFont="1" applyAlignment="1">
      <alignment horizontal="center" wrapText="1"/>
    </xf>
    <xf numFmtId="43" fontId="0" fillId="0" borderId="0" xfId="1" applyFont="1" applyBorder="1" applyAlignment="1">
      <alignment horizontal="center"/>
    </xf>
    <xf numFmtId="44" fontId="0" fillId="0" borderId="0" xfId="2" applyFont="1" applyBorder="1" applyAlignment="1">
      <alignment horizontal="center" vertical="center"/>
    </xf>
    <xf numFmtId="164" fontId="0" fillId="0" borderId="0" xfId="3" applyNumberFormat="1" applyFont="1" applyBorder="1"/>
    <xf numFmtId="44" fontId="0" fillId="0" borderId="0" xfId="2" applyFont="1" applyBorder="1" applyAlignment="1">
      <alignment vertical="center"/>
    </xf>
    <xf numFmtId="0" fontId="0" fillId="0" borderId="0" xfId="0" applyAlignment="1">
      <alignment vertical="center"/>
    </xf>
    <xf numFmtId="165" fontId="0" fillId="0" borderId="0" xfId="1" applyNumberFormat="1" applyFont="1" applyBorder="1" applyAlignment="1">
      <alignment vertical="center"/>
    </xf>
    <xf numFmtId="166" fontId="0" fillId="0" borderId="0" xfId="1" applyNumberFormat="1" applyFont="1" applyBorder="1" applyAlignment="1">
      <alignment vertical="center"/>
    </xf>
    <xf numFmtId="1" fontId="0" fillId="0" borderId="0" xfId="0" applyNumberFormat="1"/>
    <xf numFmtId="0" fontId="4" fillId="0" borderId="0" xfId="0" applyFont="1"/>
    <xf numFmtId="0" fontId="5" fillId="0" borderId="0" xfId="0" applyFont="1" applyAlignment="1">
      <alignment horizontal="left" vertical="center" wrapText="1"/>
    </xf>
    <xf numFmtId="0" fontId="2" fillId="0" borderId="0" xfId="0" applyFont="1"/>
    <xf numFmtId="0" fontId="7" fillId="0" borderId="0" xfId="0" applyFont="1" applyAlignment="1">
      <alignment horizontal="center" vertical="center"/>
    </xf>
    <xf numFmtId="0" fontId="8" fillId="0" borderId="0" xfId="0" applyFont="1" applyAlignment="1">
      <alignment horizontal="left" wrapText="1"/>
    </xf>
    <xf numFmtId="0" fontId="8" fillId="0" borderId="0" xfId="0" applyFont="1"/>
    <xf numFmtId="0" fontId="8" fillId="0" borderId="0" xfId="0" applyFont="1" applyAlignment="1">
      <alignment horizontal="right" vertical="center"/>
    </xf>
    <xf numFmtId="44" fontId="9" fillId="0" borderId="0" xfId="2" applyFont="1" applyBorder="1" applyAlignment="1">
      <alignment vertical="center"/>
    </xf>
    <xf numFmtId="0" fontId="11" fillId="0" borderId="0" xfId="4" applyFont="1" applyAlignment="1">
      <alignment horizontal="center" vertical="center" wrapText="1"/>
    </xf>
    <xf numFmtId="0" fontId="8" fillId="0" borderId="0" xfId="0" applyFont="1" applyAlignment="1">
      <alignment vertical="center"/>
    </xf>
    <xf numFmtId="165" fontId="8" fillId="0" borderId="0" xfId="1" applyNumberFormat="1" applyFont="1" applyBorder="1" applyAlignment="1">
      <alignment vertical="center"/>
    </xf>
    <xf numFmtId="166" fontId="8" fillId="0" borderId="0" xfId="1" applyNumberFormat="1" applyFont="1" applyBorder="1" applyAlignment="1">
      <alignment vertical="center"/>
    </xf>
    <xf numFmtId="44" fontId="8" fillId="0" borderId="0" xfId="2" applyFont="1" applyBorder="1" applyAlignment="1">
      <alignment vertical="center"/>
    </xf>
    <xf numFmtId="0" fontId="2" fillId="2" borderId="1" xfId="0" applyFont="1" applyFill="1" applyBorder="1" applyAlignment="1">
      <alignment horizontal="center" vertical="center" wrapText="1"/>
    </xf>
    <xf numFmtId="44" fontId="2" fillId="2" borderId="1" xfId="2" applyFont="1" applyFill="1" applyBorder="1" applyAlignment="1">
      <alignment horizontal="center" vertical="center" wrapText="1"/>
    </xf>
    <xf numFmtId="43" fontId="2" fillId="2" borderId="1" xfId="1" applyFont="1" applyFill="1" applyBorder="1" applyAlignment="1">
      <alignment horizontal="center" vertical="center" wrapText="1"/>
    </xf>
    <xf numFmtId="44" fontId="2" fillId="3" borderId="1" xfId="2" applyFont="1" applyFill="1" applyBorder="1" applyAlignment="1">
      <alignment horizontal="center" vertical="center" wrapText="1"/>
    </xf>
    <xf numFmtId="0" fontId="2" fillId="3" borderId="1" xfId="0" applyFont="1" applyFill="1" applyBorder="1" applyAlignment="1">
      <alignment horizontal="center" vertical="center" wrapText="1"/>
    </xf>
    <xf numFmtId="164" fontId="2" fillId="2" borderId="1" xfId="3" applyNumberFormat="1" applyFont="1" applyFill="1" applyBorder="1" applyAlignment="1">
      <alignment horizontal="center" vertical="center" wrapText="1"/>
    </xf>
    <xf numFmtId="165" fontId="2" fillId="3"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2" fillId="4" borderId="1"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166" fontId="13" fillId="3" borderId="3" xfId="1" applyNumberFormat="1" applyFont="1" applyFill="1" applyBorder="1" applyAlignment="1">
      <alignment horizontal="center" vertical="center" wrapText="1"/>
    </xf>
    <xf numFmtId="10" fontId="0" fillId="0" borderId="0" xfId="0" applyNumberFormat="1" applyAlignment="1">
      <alignment horizontal="center" vertical="center" wrapText="1"/>
    </xf>
    <xf numFmtId="0" fontId="0" fillId="0" borderId="0" xfId="0" applyAlignment="1">
      <alignment horizontal="center" vertical="center" wrapText="1"/>
    </xf>
    <xf numFmtId="0" fontId="2" fillId="6"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wrapText="1"/>
    </xf>
    <xf numFmtId="0" fontId="3"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2" fontId="0" fillId="0" borderId="1" xfId="1" applyNumberFormat="1" applyFont="1" applyFill="1" applyBorder="1" applyAlignment="1">
      <alignment horizontal="center" vertical="center"/>
    </xf>
    <xf numFmtId="44" fontId="0" fillId="0" borderId="1" xfId="0" applyNumberFormat="1" applyBorder="1" applyAlignment="1">
      <alignment vertical="center"/>
    </xf>
    <xf numFmtId="44" fontId="0" fillId="0" borderId="1" xfId="2" applyFont="1" applyFill="1" applyBorder="1" applyAlignment="1">
      <alignment horizontal="center" vertical="center"/>
    </xf>
    <xf numFmtId="167" fontId="0" fillId="7" borderId="1" xfId="3" applyNumberFormat="1" applyFont="1" applyFill="1" applyBorder="1" applyAlignment="1">
      <alignment horizontal="center" vertical="center"/>
    </xf>
    <xf numFmtId="0" fontId="0" fillId="7" borderId="1" xfId="0" applyFill="1" applyBorder="1" applyAlignment="1">
      <alignment vertical="center" wrapText="1"/>
    </xf>
    <xf numFmtId="168" fontId="0" fillId="7" borderId="1" xfId="0" applyNumberFormat="1" applyFill="1" applyBorder="1" applyAlignment="1">
      <alignment vertical="center" wrapText="1"/>
    </xf>
    <xf numFmtId="164" fontId="0" fillId="0" borderId="1" xfId="3" applyNumberFormat="1" applyFont="1" applyFill="1" applyBorder="1" applyAlignment="1">
      <alignment vertical="center"/>
    </xf>
    <xf numFmtId="164" fontId="0" fillId="0" borderId="1" xfId="3" applyNumberFormat="1" applyFont="1" applyFill="1" applyBorder="1" applyAlignment="1">
      <alignment horizontal="center" vertical="center"/>
    </xf>
    <xf numFmtId="44" fontId="0" fillId="0" borderId="1" xfId="2" applyFont="1" applyFill="1" applyBorder="1" applyAlignment="1">
      <alignment vertical="center"/>
    </xf>
    <xf numFmtId="165" fontId="0" fillId="0" borderId="1" xfId="1" applyNumberFormat="1" applyFont="1" applyFill="1" applyBorder="1" applyAlignment="1">
      <alignment vertical="center"/>
    </xf>
    <xf numFmtId="169" fontId="14" fillId="7" borderId="1" xfId="0" applyNumberFormat="1" applyFont="1" applyFill="1" applyBorder="1" applyAlignment="1">
      <alignment vertical="center"/>
    </xf>
    <xf numFmtId="44" fontId="0" fillId="7" borderId="2" xfId="2" quotePrefix="1" applyFont="1" applyFill="1" applyBorder="1" applyAlignment="1">
      <alignment horizontal="center" vertical="center" wrapText="1"/>
    </xf>
    <xf numFmtId="44" fontId="2" fillId="0" borderId="2" xfId="0" applyNumberFormat="1" applyFont="1" applyBorder="1" applyAlignment="1">
      <alignment horizontal="center" vertical="center"/>
    </xf>
    <xf numFmtId="44" fontId="0" fillId="0" borderId="4" xfId="0" applyNumberFormat="1" applyBorder="1" applyAlignment="1">
      <alignment horizontal="center" vertical="center"/>
    </xf>
    <xf numFmtId="44" fontId="0" fillId="0" borderId="0" xfId="0" applyNumberFormat="1"/>
    <xf numFmtId="0" fontId="2" fillId="6" borderId="1" xfId="0" applyFont="1" applyFill="1" applyBorder="1" applyAlignment="1">
      <alignment horizontal="center" vertical="center"/>
    </xf>
    <xf numFmtId="44" fontId="0" fillId="7" borderId="5" xfId="2" applyFont="1" applyFill="1" applyBorder="1" applyAlignment="1">
      <alignment horizontal="center" vertical="center"/>
    </xf>
    <xf numFmtId="44" fontId="2" fillId="0" borderId="5" xfId="0" applyNumberFormat="1" applyFont="1" applyBorder="1" applyAlignment="1">
      <alignment horizontal="center" vertical="center"/>
    </xf>
    <xf numFmtId="44" fontId="0" fillId="0" borderId="6" xfId="0" applyNumberFormat="1" applyBorder="1" applyAlignment="1">
      <alignment horizontal="center" vertical="center"/>
    </xf>
    <xf numFmtId="2" fontId="0" fillId="0" borderId="1" xfId="0" applyNumberFormat="1" applyBorder="1" applyAlignment="1">
      <alignment horizontal="center" vertical="center" wrapText="1"/>
    </xf>
    <xf numFmtId="0" fontId="15" fillId="0" borderId="3" xfId="0" applyFont="1" applyBorder="1" applyAlignment="1">
      <alignment vertical="center"/>
    </xf>
    <xf numFmtId="0" fontId="15" fillId="0" borderId="7" xfId="0" applyFont="1" applyBorder="1" applyAlignment="1">
      <alignment vertical="center"/>
    </xf>
    <xf numFmtId="0" fontId="16" fillId="0" borderId="7" xfId="0" applyFont="1" applyBorder="1" applyAlignment="1">
      <alignment horizontal="right" vertical="center"/>
    </xf>
    <xf numFmtId="44" fontId="16" fillId="0" borderId="7" xfId="0" applyNumberFormat="1" applyFont="1" applyBorder="1" applyAlignment="1">
      <alignment vertical="center"/>
    </xf>
    <xf numFmtId="44" fontId="16" fillId="7" borderId="7" xfId="0" applyNumberFormat="1" applyFont="1" applyFill="1" applyBorder="1" applyAlignment="1">
      <alignment vertical="center"/>
    </xf>
    <xf numFmtId="9" fontId="16" fillId="0" borderId="7" xfId="3" applyFont="1" applyFill="1" applyBorder="1" applyAlignment="1">
      <alignment horizontal="center" vertical="center"/>
    </xf>
    <xf numFmtId="164" fontId="15" fillId="0" borderId="7" xfId="0" applyNumberFormat="1" applyFont="1" applyBorder="1" applyAlignment="1">
      <alignment vertical="center"/>
    </xf>
    <xf numFmtId="0" fontId="15" fillId="0" borderId="8" xfId="0" applyFont="1" applyBorder="1" applyAlignment="1">
      <alignment vertical="center"/>
    </xf>
    <xf numFmtId="165" fontId="15" fillId="0" borderId="1" xfId="1" applyNumberFormat="1" applyFont="1" applyFill="1" applyBorder="1" applyAlignment="1">
      <alignment vertical="center"/>
    </xf>
    <xf numFmtId="44" fontId="16" fillId="0" borderId="1" xfId="2" applyFont="1" applyFill="1" applyBorder="1" applyAlignment="1">
      <alignment horizontal="right" vertical="center"/>
    </xf>
    <xf numFmtId="169" fontId="16" fillId="0" borderId="1" xfId="1" applyNumberFormat="1" applyFont="1" applyFill="1" applyBorder="1" applyAlignment="1">
      <alignment vertical="center"/>
    </xf>
    <xf numFmtId="44" fontId="16" fillId="0" borderId="1" xfId="2" applyFont="1" applyFill="1" applyBorder="1" applyAlignment="1">
      <alignment vertical="center"/>
    </xf>
    <xf numFmtId="8" fontId="16" fillId="0" borderId="1" xfId="2" applyNumberFormat="1" applyFont="1" applyFill="1" applyBorder="1" applyAlignment="1">
      <alignment vertical="center"/>
    </xf>
    <xf numFmtId="44" fontId="16" fillId="0" borderId="1" xfId="0" applyNumberFormat="1" applyFont="1" applyBorder="1"/>
    <xf numFmtId="44" fontId="15" fillId="0" borderId="3" xfId="0" applyNumberFormat="1" applyFont="1" applyBorder="1"/>
    <xf numFmtId="44" fontId="15" fillId="0" borderId="0" xfId="0" applyNumberFormat="1" applyFont="1"/>
    <xf numFmtId="0" fontId="15" fillId="0" borderId="0" xfId="0" applyFont="1"/>
    <xf numFmtId="8" fontId="15" fillId="0" borderId="0" xfId="0" applyNumberFormat="1" applyFont="1"/>
    <xf numFmtId="0" fontId="2" fillId="6"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44" fontId="0" fillId="7" borderId="2" xfId="2" quotePrefix="1" applyFont="1" applyFill="1" applyBorder="1" applyAlignment="1">
      <alignment horizontal="center" vertical="center" wrapText="1"/>
    </xf>
    <xf numFmtId="44" fontId="2" fillId="0" borderId="2" xfId="0" applyNumberFormat="1" applyFont="1" applyBorder="1" applyAlignment="1">
      <alignment horizontal="center" vertical="center"/>
    </xf>
    <xf numFmtId="44" fontId="0" fillId="0" borderId="4" xfId="0" applyNumberFormat="1" applyBorder="1" applyAlignment="1">
      <alignment horizontal="center" vertical="center"/>
    </xf>
    <xf numFmtId="44" fontId="15" fillId="0" borderId="4" xfId="0" applyNumberFormat="1" applyFont="1" applyBorder="1"/>
    <xf numFmtId="8" fontId="0" fillId="0" borderId="0" xfId="2" applyNumberFormat="1" applyFont="1" applyBorder="1" applyAlignment="1">
      <alignment vertical="center"/>
    </xf>
  </cellXfs>
  <cellStyles count="5">
    <cellStyle name="Migliaia" xfId="1" builtinId="3"/>
    <cellStyle name="Normale" xfId="0" builtinId="0"/>
    <cellStyle name="Normale 2" xfId="4" xr:uid="{BC23C21D-5260-4874-877C-B9AF1A07C9B2}"/>
    <cellStyle name="Percentuale" xfId="3"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181428</xdr:colOff>
      <xdr:row>0</xdr:row>
      <xdr:rowOff>127000</xdr:rowOff>
    </xdr:from>
    <xdr:to>
      <xdr:col>2</xdr:col>
      <xdr:colOff>1088999</xdr:colOff>
      <xdr:row>2</xdr:row>
      <xdr:rowOff>96883</xdr:rowOff>
    </xdr:to>
    <xdr:pic>
      <xdr:nvPicPr>
        <xdr:cNvPr id="2" name="image1.jpeg">
          <a:extLst>
            <a:ext uri="{FF2B5EF4-FFF2-40B4-BE49-F238E27FC236}">
              <a16:creationId xmlns:a16="http://schemas.microsoft.com/office/drawing/2014/main" id="{DAD44B32-68ED-4576-B8E8-85C93616153E}"/>
            </a:ext>
          </a:extLst>
        </xdr:cNvPr>
        <xdr:cNvPicPr/>
      </xdr:nvPicPr>
      <xdr:blipFill>
        <a:blip xmlns:r="http://schemas.openxmlformats.org/officeDocument/2006/relationships" r:embed="rId1" cstate="print"/>
        <a:stretch>
          <a:fillRect/>
        </a:stretch>
      </xdr:blipFill>
      <xdr:spPr>
        <a:xfrm>
          <a:off x="181428" y="127000"/>
          <a:ext cx="1938176" cy="3318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autostrade-my.sharepoint.com/personal/alberto_boellis_autostrade_it/Documents/AIM%20-%20Affidamenti%20Impianti%20centrali%20e%20DDTT/7_GARE%20SERVIZI%202024/DI/425507_PROG%20e%20CSP%20IMP_DOLCI/BOZZE%20NUOVA%20GARA/Allegati%20al%20Disc/OLD/Determinazione%20corrispettivi.xlsx" TargetMode="External"/><Relationship Id="rId2" Type="http://schemas.microsoft.com/office/2019/04/relationships/externalLinkLongPath" Target="OLD/Determinazione%20corrispettivi.xlsx?97DB310A" TargetMode="External"/><Relationship Id="rId1" Type="http://schemas.openxmlformats.org/officeDocument/2006/relationships/externalLinkPath" Target="file:///\\97DB310A\Determinazione%20corrispetti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eterminazione corrispettivi"/>
      <sheetName val="Tabella-Z1 (2)"/>
      <sheetName val="Tabella-Z1"/>
      <sheetName val="Prestazioni richieste_36_2023"/>
      <sheetName val="Foglio1"/>
      <sheetName val="Corrispettivo_36_2023"/>
    </sheetNames>
    <sheetDataSet>
      <sheetData sheetId="0" refreshError="1"/>
      <sheetData sheetId="1">
        <row r="2">
          <cell r="C2" t="str">
            <v>ID.
Opere</v>
          </cell>
          <cell r="D2" t="str">
            <v>Corrispondenze</v>
          </cell>
          <cell r="G2" t="str">
            <v>IDENTIFICAZIONE DELLE OPERE</v>
          </cell>
          <cell r="H2" t="str">
            <v>Gradi
di complessità</v>
          </cell>
        </row>
        <row r="3">
          <cell r="D3" t="str">
            <v>l.143/49
Classi e categorie</v>
          </cell>
          <cell r="H3" t="str">
            <v>G</v>
          </cell>
        </row>
        <row r="4">
          <cell r="C4" t="str">
            <v>E.01</v>
          </cell>
          <cell r="D4" t="str">
            <v>I/a I/b</v>
          </cell>
          <cell r="G4" t="str">
            <v>Edifici rurali per l'attività agricola con corredi tecnici di tipo semplice (quali tettoie, depositi e ricoveri) - Edifici industriali o artigianali di importanza costruttiva corrente con corredi tecnici di base.</v>
          </cell>
          <cell r="H4">
            <v>0.65</v>
          </cell>
        </row>
        <row r="5">
          <cell r="C5" t="str">
            <v>E.02</v>
          </cell>
          <cell r="D5" t="str">
            <v>I/c</v>
          </cell>
          <cell r="G5" t="str">
            <v>Edifici rurali per l'attività agricola con corredi tecnici di tipo complesso - Edifici industriali o artigianali con organizzazione e corredi tecnici di tipo complesso.</v>
          </cell>
          <cell r="H5">
            <v>0.95</v>
          </cell>
        </row>
        <row r="6">
          <cell r="C6" t="str">
            <v>E.03</v>
          </cell>
          <cell r="D6" t="str">
            <v>I/c</v>
          </cell>
          <cell r="G6" t="str">
            <v>Ostelli, Pensioni, Case albergo – Ristoranti - Motel e stazioni di servizio - negozi - mercati coperti di tipo semplice</v>
          </cell>
          <cell r="H6">
            <v>0.95</v>
          </cell>
        </row>
        <row r="7">
          <cell r="C7" t="str">
            <v>E.04</v>
          </cell>
          <cell r="D7" t="str">
            <v>I/d</v>
          </cell>
          <cell r="G7" t="str">
            <v>Alberghi, Villaggi turistici - Mercati e Centri commerciali complessi</v>
          </cell>
          <cell r="H7">
            <v>1.2</v>
          </cell>
        </row>
        <row r="8">
          <cell r="C8" t="str">
            <v>E.05</v>
          </cell>
          <cell r="D8" t="str">
            <v>I/a I/b</v>
          </cell>
          <cell r="G8" t="str">
            <v>Edifici, pertinenze, autorimesse semplici, senza particolari esigenze tecniche. Edifici provvisori di modesta importanza</v>
          </cell>
          <cell r="H8">
            <v>0.65</v>
          </cell>
        </row>
        <row r="9">
          <cell r="C9" t="str">
            <v>E.06</v>
          </cell>
          <cell r="D9" t="str">
            <v>I/c</v>
          </cell>
          <cell r="G9" t="str">
            <v>Edilizia residenziale privata e pubblica di tipo corrente con costi di costruzione nella media di mercato e con tipologie standardizzate.</v>
          </cell>
          <cell r="H9">
            <v>0.95</v>
          </cell>
        </row>
        <row r="10">
          <cell r="C10" t="str">
            <v>E.07</v>
          </cell>
          <cell r="D10" t="str">
            <v>I/d</v>
          </cell>
          <cell r="G10" t="str">
            <v>Edifici residenziali di tipo pregiato con costi di costruzione eccedenti la media di mercato e con tipologie diversificate.</v>
          </cell>
          <cell r="H10">
            <v>1.2</v>
          </cell>
        </row>
        <row r="11">
          <cell r="C11" t="str">
            <v>E.08</v>
          </cell>
          <cell r="D11" t="str">
            <v>I/c</v>
          </cell>
          <cell r="G11" t="str">
            <v>Sede Azienda Sanitaria, Distretto sanitario, Ambulatori di base. Asilo Nido, Scuola Materna, Scuola elementare, Scuole secondarie di primo grado fino a 24 classi, Scuole secondarie di secondo grado fino a 25 classi</v>
          </cell>
          <cell r="H11">
            <v>0.95</v>
          </cell>
        </row>
        <row r="12">
          <cell r="C12" t="str">
            <v>E.09</v>
          </cell>
          <cell r="D12" t="str">
            <v>I/d</v>
          </cell>
          <cell r="G12" t="str">
            <v>Scuole secondarie di primo grado oltre 24 classi-Istituti scolastici superiori oltre 25 classi- Case di cura</v>
          </cell>
          <cell r="H12">
            <v>1.1499999999999999</v>
          </cell>
        </row>
        <row r="13">
          <cell r="C13" t="str">
            <v>E.10</v>
          </cell>
          <cell r="D13" t="str">
            <v>I/d</v>
          </cell>
          <cell r="G13" t="str">
            <v>Poliambulatori, Ospedali, Istituti di ricerca, Centri di riabilitazione, Poli scolastici, Università, Accademie, Istituti di ricerca universitaria</v>
          </cell>
          <cell r="H13">
            <v>1.2</v>
          </cell>
        </row>
        <row r="14">
          <cell r="C14" t="str">
            <v>E.11</v>
          </cell>
          <cell r="D14" t="str">
            <v>I/c</v>
          </cell>
          <cell r="G14" t="str">
            <v>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v>
          </cell>
          <cell r="H14">
            <v>0.95</v>
          </cell>
        </row>
        <row r="15">
          <cell r="C15" t="str">
            <v>E.12</v>
          </cell>
          <cell r="D15" t="str">
            <v>I/d</v>
          </cell>
          <cell r="G15" t="str">
            <v>Aree ed attrezzature per lo sport all'aperto, Campo sportivo e servizi annessi, di tipo complesso- Palestre e piscine coperte</v>
          </cell>
          <cell r="H15">
            <v>1.1499999999999999</v>
          </cell>
        </row>
        <row r="16">
          <cell r="C16" t="str">
            <v>E.13</v>
          </cell>
          <cell r="D16" t="str">
            <v>I/d</v>
          </cell>
          <cell r="G16" t="str">
            <v>Biblioteca, Cinema, Teatro, Pinacoteca, Centro Culturale, Sede congressuale, Auditorium, Museo, Galleria d'arte, Discoteca, Studio radiofonico o televisivo o di produzione cinematografica - Opere cimiteriali di tipo monumentale, Monumenti commemorativi, Palasport, Stadio, Chiese</v>
          </cell>
          <cell r="H16">
            <v>1.2</v>
          </cell>
        </row>
        <row r="17">
          <cell r="C17" t="str">
            <v>E.14</v>
          </cell>
          <cell r="D17" t="str">
            <v>I/a I/b</v>
          </cell>
          <cell r="G17" t="str">
            <v>Edifici provvisori di modesta importanza a servizio di caserme</v>
          </cell>
          <cell r="H17">
            <v>0.65</v>
          </cell>
        </row>
        <row r="18">
          <cell r="C18" t="str">
            <v>E.15</v>
          </cell>
          <cell r="D18" t="str">
            <v>I/c</v>
          </cell>
          <cell r="G18" t="str">
            <v>Caserme con corredi tecnici di importanza corrente</v>
          </cell>
          <cell r="H18">
            <v>0.95</v>
          </cell>
        </row>
        <row r="19">
          <cell r="C19" t="str">
            <v>E.16</v>
          </cell>
          <cell r="D19" t="str">
            <v>I/d</v>
          </cell>
          <cell r="G19" t="str">
            <v>Sedi ed Uffici di Società ed Enti, Sedi ed Uffici comunali, Sedi ed Uffici provinciali, Sedi ed Uffici regionali, Sedi ed Uffici ministeriali, Pretura, Tribunale, Palazzo di giustizia, Penitenziari, Caserme con corredi tecnici di importanza maggiore, Questura</v>
          </cell>
          <cell r="H19">
            <v>1.2</v>
          </cell>
        </row>
        <row r="20">
          <cell r="C20" t="str">
            <v>E.17</v>
          </cell>
          <cell r="D20" t="str">
            <v>I/a I/b</v>
          </cell>
          <cell r="G20" t="str">
            <v>Verde  ed opere di arredo urbano improntate a grande semplicità, pertinenziali agli edifici ed alla viabilità, Campeggi e simili</v>
          </cell>
          <cell r="H20">
            <v>0.65</v>
          </cell>
        </row>
        <row r="21">
          <cell r="C21" t="str">
            <v>E.18</v>
          </cell>
          <cell r="D21" t="str">
            <v>I/c</v>
          </cell>
          <cell r="G21" t="str">
            <v>Arredamenti con elementi acquistati dal mercato, Giardini, Parchi gioco, Piazze e spazi pubblici all’aperto</v>
          </cell>
          <cell r="H21">
            <v>0.95</v>
          </cell>
        </row>
        <row r="22">
          <cell r="C22" t="str">
            <v>E.19</v>
          </cell>
          <cell r="D22" t="str">
            <v>I/d</v>
          </cell>
          <cell r="G22" t="str">
            <v>Arredamenti con elementi singolari, Parchi urbani, Parchi ludici attrezzati, Giardini e piazze storiche, Opere di riqualificazione paesaggistica e ambientale di aree urbane.</v>
          </cell>
          <cell r="H22">
            <v>1.2</v>
          </cell>
        </row>
        <row r="23">
          <cell r="C23" t="str">
            <v>E.20</v>
          </cell>
          <cell r="D23" t="str">
            <v>I/c</v>
          </cell>
          <cell r="G23" t="str">
            <v>Interventi di manutenzione straordinaria, ristrutturazione, riqualificazione, su edifici e manufatti esistenti</v>
          </cell>
          <cell r="H23">
            <v>0.95</v>
          </cell>
        </row>
        <row r="24">
          <cell r="C24" t="str">
            <v>E.21</v>
          </cell>
          <cell r="D24" t="str">
            <v>I/d</v>
          </cell>
          <cell r="G24" t="str">
            <v>Interventi di manutenzione straordinaria, restauro, ristrutturazione, riqualificazione, su edifici e manufatti di interesse storico artistico non soggetti</v>
          </cell>
          <cell r="H24">
            <v>1.2</v>
          </cell>
        </row>
        <row r="25">
          <cell r="C25" t="str">
            <v>E.22</v>
          </cell>
          <cell r="D25" t="str">
            <v>I/e</v>
          </cell>
          <cell r="G25" t="str">
            <v>Interventi di manutenzione, restauro, risanamento conservativo, riqualificazione, su edifici e manufatti di interesse storico artistico soggetti</v>
          </cell>
          <cell r="H25">
            <v>1.55</v>
          </cell>
        </row>
        <row r="26">
          <cell r="C26" t="str">
            <v>S.01</v>
          </cell>
          <cell r="D26" t="str">
            <v>I/f</v>
          </cell>
          <cell r="G26" t="str">
            <v>Strutture o parti di strutture in cemento armato, non soggette ad azioni sismiche - riparazione o intervento locale - Verifiche strutturali  relative - Ponteggi, centinature e strutture provvisionali di durata inferiore a due anni</v>
          </cell>
          <cell r="H26">
            <v>0.7</v>
          </cell>
        </row>
        <row r="27">
          <cell r="C27" t="str">
            <v>S.02</v>
          </cell>
          <cell r="D27" t="str">
            <v>IX/a</v>
          </cell>
          <cell r="G27" t="str">
            <v>Strutture o parti di strutture in muratura, legno, metallo, non soggette ad azioni sismiche - riparazione o intervento locale - Verifiche strutturali relative.</v>
          </cell>
          <cell r="H27">
            <v>0.5</v>
          </cell>
        </row>
        <row r="28">
          <cell r="C28" t="str">
            <v>S.03</v>
          </cell>
          <cell r="D28" t="str">
            <v>I/g</v>
          </cell>
          <cell r="G28" t="str">
            <v>Strutture o parti di strutture in cemento armato - Verifiche strutturali relative - Ponteggi, centinature e strutture provvisionali di durata superiore a due anni.</v>
          </cell>
          <cell r="H28">
            <v>0.95</v>
          </cell>
        </row>
        <row r="29">
          <cell r="C29" t="str">
            <v>S.04</v>
          </cell>
          <cell r="D29" t="str">
            <v>IX/b</v>
          </cell>
          <cell r="G29" t="str">
            <v>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v>
          </cell>
          <cell r="H29">
            <v>0.9</v>
          </cell>
        </row>
        <row r="30">
          <cell r="C30" t="str">
            <v>S.05</v>
          </cell>
          <cell r="D30" t="str">
            <v>IX/b IX/c</v>
          </cell>
          <cell r="G30" t="str">
            <v>Dighe, Conche, Elevatori, Opere di ritenuta  e di difesa, rilevati, colmate. Gallerie, Opere sotterranee e subacquee, Fondazioni speciali.</v>
          </cell>
          <cell r="H30">
            <v>1.05</v>
          </cell>
        </row>
        <row r="31">
          <cell r="C31" t="str">
            <v>S.06</v>
          </cell>
          <cell r="D31" t="str">
            <v>I/g IX/c</v>
          </cell>
          <cell r="G31" t="str">
            <v>Opere strutturali di notevole importanza costruttiva e richiedenti calcolazioni particolari - Verifiche strutturali relative - Strutture con metodologie normative che richiedono modellazione particolare: edifici alti con necessità di valutazioni di secondo ordine.</v>
          </cell>
          <cell r="H31">
            <v>1.1499999999999999</v>
          </cell>
        </row>
        <row r="32">
          <cell r="C32" t="str">
            <v>IA.01</v>
          </cell>
          <cell r="D32" t="str">
            <v>III/a</v>
          </cell>
          <cell r="G32" t="str">
            <v>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v>
          </cell>
          <cell r="H32">
            <v>0.75</v>
          </cell>
        </row>
        <row r="33">
          <cell r="C33" t="str">
            <v>IA.02</v>
          </cell>
          <cell r="D33" t="str">
            <v>III/b</v>
          </cell>
          <cell r="G33" t="str">
            <v>Impianti di riscaldamento - Impianto di raffrescamento, climatizzazione, trattamento dell’aria - Impianti meccanici di distribuzione fluidi - Impianto solare termico</v>
          </cell>
          <cell r="H33">
            <v>0.85</v>
          </cell>
        </row>
        <row r="34">
          <cell r="C34" t="str">
            <v>IA.03</v>
          </cell>
          <cell r="D34" t="str">
            <v>III/c</v>
          </cell>
          <cell r="G34" t="str">
            <v>Impianti elettrici in genere, impianti di illuminazione, telefonici, di rivelazione incendi, fotovoltaici, a corredo di edifici e costruzioni di importanza corrente - singole apparecchiature per laboratori e impianti pilota di tipo semplice</v>
          </cell>
          <cell r="H34">
            <v>1.1499999999999999</v>
          </cell>
        </row>
        <row r="35">
          <cell r="C35" t="str">
            <v>IA.04</v>
          </cell>
          <cell r="D35" t="str">
            <v>III/c</v>
          </cell>
          <cell r="G35" t="str">
            <v>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v>
          </cell>
          <cell r="H35">
            <v>1.3</v>
          </cell>
        </row>
        <row r="36">
          <cell r="C36" t="str">
            <v>IB.04</v>
          </cell>
          <cell r="D36" t="str">
            <v>II/a</v>
          </cell>
          <cell r="G36" t="str">
            <v>Depositi e discariche senza trattamento dei rifiuti.</v>
          </cell>
          <cell r="H36">
            <v>0.55000000000000004</v>
          </cell>
        </row>
        <row r="37">
          <cell r="C37" t="str">
            <v>IB.05</v>
          </cell>
          <cell r="D37" t="str">
            <v>II/b</v>
          </cell>
          <cell r="G37" t="str">
            <v>Impianti per le industrie molitorie, cartarie, alimentari, delle fibre tessili naturali, del legno, del cuoio e simili.</v>
          </cell>
          <cell r="H37">
            <v>0.7</v>
          </cell>
        </row>
        <row r="38">
          <cell r="C38" t="str">
            <v>IB.06</v>
          </cell>
          <cell r="D38" t="str">
            <v>II/b</v>
          </cell>
          <cell r="G38" t="str">
            <v>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v>
          </cell>
          <cell r="H38">
            <v>0.7</v>
          </cell>
        </row>
        <row r="39">
          <cell r="C39" t="str">
            <v>IB.07</v>
          </cell>
          <cell r="D39" t="str">
            <v>II/c</v>
          </cell>
          <cell r="G39" t="str">
            <v>Gli impianti precedentemente esposti quando siano di complessità particolarmente rilevante o comportanti rischi e problematiche ambientali molto rilevanti</v>
          </cell>
          <cell r="H39">
            <v>0.75</v>
          </cell>
        </row>
        <row r="40">
          <cell r="C40" t="str">
            <v>IB.08</v>
          </cell>
          <cell r="D40" t="str">
            <v>IV/c</v>
          </cell>
          <cell r="G40" t="str">
            <v>Impianti di linee e reti per trasmissioni e distribuzione di energia elettrica, telegrafia, telefonia.</v>
          </cell>
          <cell r="H40">
            <v>0.5</v>
          </cell>
        </row>
        <row r="41">
          <cell r="C41" t="str">
            <v>IB.09</v>
          </cell>
          <cell r="D41" t="str">
            <v>IV/b</v>
          </cell>
          <cell r="G41" t="str">
            <v>Centrali idroelettriche ordinarie - Stazioni di trasformazioni e di conversione impianti di trazione elettrica</v>
          </cell>
          <cell r="H41">
            <v>0.6</v>
          </cell>
        </row>
        <row r="42">
          <cell r="C42" t="str">
            <v>IB.10</v>
          </cell>
          <cell r="D42" t="str">
            <v>IV/a</v>
          </cell>
          <cell r="G42" t="str">
            <v>Impianti termoelettrici-Impianti dell'elettrochimica - Impianti della elettrometallurgia - Laboratori con ridotte problematiche tecniche</v>
          </cell>
          <cell r="H42">
            <v>0.75</v>
          </cell>
        </row>
        <row r="43">
          <cell r="C43" t="str">
            <v>IB.11</v>
          </cell>
          <cell r="G43" t="str">
            <v>Campi fotovoltaici - Parchi eolici</v>
          </cell>
          <cell r="H43">
            <v>0.9</v>
          </cell>
        </row>
        <row r="44">
          <cell r="C44" t="str">
            <v>IB.12</v>
          </cell>
          <cell r="G44" t="str">
            <v>Micro Centrali idroelettriche-Impianti termoelettrici-Impianti della elettrometallurgia di tipo complesso</v>
          </cell>
          <cell r="H44">
            <v>1</v>
          </cell>
        </row>
        <row r="46">
          <cell r="C46" t="str">
            <v>V.01</v>
          </cell>
          <cell r="D46" t="str">
            <v>VI/a</v>
          </cell>
          <cell r="G46" t="str">
            <v>Interventi di manutenzione su viabilità ordinaria</v>
          </cell>
          <cell r="H46">
            <v>0.4</v>
          </cell>
        </row>
        <row r="47">
          <cell r="C47" t="str">
            <v>V.02</v>
          </cell>
          <cell r="D47" t="str">
            <v>VI/a</v>
          </cell>
          <cell r="G47" t="str">
            <v>Strade, linee tramviarie, ferrovie, strade ferrate, di tipo ordinario, escluse le opere d'arte da compensarsi a parte - Piste ciclabili</v>
          </cell>
          <cell r="H47">
            <v>0.45</v>
          </cell>
        </row>
        <row r="48">
          <cell r="C48" t="str">
            <v>V.03</v>
          </cell>
          <cell r="D48" t="str">
            <v>VI/b</v>
          </cell>
          <cell r="G48" t="str">
            <v>Strade, linee tramviarie, ferrovie, strade ferrate, con particolari difficoltà di studio, escluse le opere d'arte e le stazioni, da compensarsi a parte. - Impianti teleferici e funicolari - Piste aeroportuali e simili.</v>
          </cell>
          <cell r="H48">
            <v>0.75</v>
          </cell>
        </row>
        <row r="49">
          <cell r="C49" t="str">
            <v>D.01</v>
          </cell>
          <cell r="D49" t="str">
            <v>VII/c</v>
          </cell>
          <cell r="G49" t="str">
            <v>Opere di navigazione interna e portuali</v>
          </cell>
          <cell r="H49">
            <v>0.65</v>
          </cell>
        </row>
        <row r="50">
          <cell r="C50" t="str">
            <v>D.02</v>
          </cell>
          <cell r="D50" t="str">
            <v>VII/a</v>
          </cell>
          <cell r="G50" t="str">
            <v>Bonifiche ed irrigazioni a deflusso naturale, sistemazione di corsi d'acqua e di bacini montani</v>
          </cell>
          <cell r="H50">
            <v>0.45</v>
          </cell>
        </row>
        <row r="51">
          <cell r="C51" t="str">
            <v>D.03</v>
          </cell>
          <cell r="D51" t="str">
            <v>VII/b</v>
          </cell>
          <cell r="G51" t="str">
            <v>Bonifiche ed irrigazioni con sollevamento meccanico di acqua (esclusi i macchinari) - Derivazioni d'acqua per forza motrice e produzione di energia elettrica.</v>
          </cell>
          <cell r="H51">
            <v>0.55000000000000004</v>
          </cell>
        </row>
        <row r="52">
          <cell r="C52" t="str">
            <v>D.04</v>
          </cell>
          <cell r="D52" t="str">
            <v>VIII</v>
          </cell>
          <cell r="G52" t="str">
            <v>Impianti per provvista, condotta, distribuzione d'acqua, improntate a grande semplicità - Fognature urbane improntate a grande semplicità - Condotte subacquee in genere, metanodotti e  gasdotti, di tipo ordinario</v>
          </cell>
          <cell r="H52">
            <v>0.65</v>
          </cell>
        </row>
        <row r="53">
          <cell r="C53" t="str">
            <v>D.05</v>
          </cell>
          <cell r="G53" t="str">
            <v>Impianti per provvista, condotta, distribuzione d'acqua - Fognature urbane - Condotte subacquee in genere, metanodotti e  gasdotti, con problemi tecnici di tipo speciale.</v>
          </cell>
          <cell r="H53">
            <v>0.8</v>
          </cell>
        </row>
        <row r="54">
          <cell r="C54" t="str">
            <v>T.01</v>
          </cell>
          <cell r="G54" t="str">
            <v>Sistemi informativi, gestione elettronica del flusso documentale, dematerializzazione e gestione archivi, ingegnerizzazione dei processi, sistemi di gestione delle attività produttive, Data center, server farm.</v>
          </cell>
          <cell r="H54">
            <v>0.95</v>
          </cell>
        </row>
        <row r="55">
          <cell r="C55" t="str">
            <v>T.02</v>
          </cell>
          <cell r="G55" t="str">
            <v>Reti locali e geografiche, cablaggi strutturati, impianti in fibra ottica, Impianti di videosorveglianza, controllo accessi, identificazione targhe di veicoli ecc Sistemi wireless, reti wifi, ponti radio.</v>
          </cell>
          <cell r="H55">
            <v>0.7</v>
          </cell>
        </row>
        <row r="56">
          <cell r="C56" t="str">
            <v>T.03</v>
          </cell>
          <cell r="G56" t="str">
            <v>Elettronica Industriale Sistemi a controllo numerico, Sistemi di automazione, Robotica.</v>
          </cell>
          <cell r="H56">
            <v>1.2</v>
          </cell>
        </row>
        <row r="57">
          <cell r="C57" t="str">
            <v>P.01</v>
          </cell>
          <cell r="G57" t="str">
            <v>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v>
          </cell>
          <cell r="H57">
            <v>0.85</v>
          </cell>
        </row>
        <row r="58">
          <cell r="C58" t="str">
            <v>P.02</v>
          </cell>
          <cell r="G58" t="str">
            <v>Opere a verde sia su piccola scala o grande scala dove la rilevanza dell’opera è prevalente rispetto alle opere di tipo costruttivo.</v>
          </cell>
          <cell r="H58">
            <v>0.85</v>
          </cell>
        </row>
        <row r="59">
          <cell r="C59" t="str">
            <v>P.03</v>
          </cell>
          <cell r="G59" t="str">
            <v>Opere di riqualificazione e risanamento di ambiti naturali, rurali e forestali o urbani finalizzati al ripristino delle condizioni originarie, al riassetto delle componenti  biotiche ed abiotiche.</v>
          </cell>
          <cell r="H59">
            <v>0.85</v>
          </cell>
        </row>
        <row r="60">
          <cell r="C60" t="str">
            <v>P.04</v>
          </cell>
          <cell r="G60" t="str">
            <v>Opere di utilizzazione di bacini estrattivi a parete o a fossa</v>
          </cell>
          <cell r="H60">
            <v>0.85</v>
          </cell>
        </row>
        <row r="61">
          <cell r="C61" t="str">
            <v>P.05</v>
          </cell>
          <cell r="G61" t="str">
            <v>Opere di assetto ed utilizzazione forestale nonché dell’impiego ai fini industriali, energetici ed ambientali. Piste forestali, strade forestali– percorsi naturalistici, aree di sosta e di stazionamento dei mezzi forestali. Meccanizzazione forestale</v>
          </cell>
          <cell r="H61">
            <v>0.85</v>
          </cell>
        </row>
        <row r="62">
          <cell r="C62" t="str">
            <v>P.06</v>
          </cell>
          <cell r="G62" t="str">
            <v>Opere di intervento per la realizzazione di infrastrutture e di miglioramento dell’assetto rurale.</v>
          </cell>
          <cell r="H62">
            <v>0.85</v>
          </cell>
        </row>
        <row r="63">
          <cell r="C63" t="str">
            <v>U.01</v>
          </cell>
          <cell r="G63" t="str">
            <v>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v>
          </cell>
          <cell r="H63">
            <v>0.9</v>
          </cell>
        </row>
        <row r="64">
          <cell r="C64" t="str">
            <v>U.02</v>
          </cell>
          <cell r="G64" t="str">
            <v>Interventi di valorizzazione degli ambiti naturali sia di tipo vegetazionale che faunistico</v>
          </cell>
          <cell r="H64">
            <v>0.95</v>
          </cell>
        </row>
        <row r="65">
          <cell r="C65" t="str">
            <v>U.03</v>
          </cell>
          <cell r="G65" t="str">
            <v>Strumenti di pianificazione generale ed attuativa e di pianificazione di settore</v>
          </cell>
          <cell r="H65">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D32"/>
  <sheetViews>
    <sheetView tabSelected="1" workbookViewId="0">
      <selection activeCell="J6" sqref="J6"/>
    </sheetView>
  </sheetViews>
  <sheetFormatPr defaultColWidth="8.6640625" defaultRowHeight="14.4" outlineLevelCol="1" x14ac:dyDescent="0.3"/>
  <cols>
    <col min="1" max="1" width="14" customWidth="1"/>
    <col min="2" max="2" width="14" hidden="1" customWidth="1" outlineLevel="1"/>
    <col min="3" max="3" width="19.33203125" style="1" bestFit="1" customWidth="1" collapsed="1"/>
    <col min="4" max="4" width="26.44140625" hidden="1" customWidth="1" outlineLevel="1"/>
    <col min="5" max="5" width="14" style="2" customWidth="1" collapsed="1"/>
    <col min="6" max="6" width="32.33203125" style="3" customWidth="1"/>
    <col min="7" max="7" width="14" style="2" customWidth="1"/>
    <col min="8" max="8" width="16.109375" style="4" customWidth="1"/>
    <col min="9" max="9" width="22.6640625" style="1" bestFit="1" customWidth="1"/>
    <col min="10" max="10" width="24.5546875" style="1" bestFit="1" customWidth="1"/>
    <col min="11" max="11" width="21.44140625" style="1" hidden="1" customWidth="1" outlineLevel="1"/>
    <col min="12" max="12" width="23" customWidth="1" collapsed="1"/>
    <col min="13" max="13" width="16.6640625" hidden="1" customWidth="1" outlineLevel="1"/>
    <col min="14" max="14" width="11.6640625" hidden="1" customWidth="1" outlineLevel="1"/>
    <col min="15" max="15" width="16.6640625" style="5" customWidth="1" collapsed="1"/>
    <col min="16" max="16" width="9.6640625" style="6" customWidth="1"/>
    <col min="17" max="17" width="14.88671875" style="7" hidden="1" customWidth="1" outlineLevel="1"/>
    <col min="18" max="18" width="20.44140625" style="8" customWidth="1" collapsed="1"/>
    <col min="19" max="19" width="13.6640625" style="9" hidden="1" customWidth="1" outlineLevel="1"/>
    <col min="20" max="20" width="19" style="8" bestFit="1" customWidth="1" collapsed="1"/>
    <col min="21" max="21" width="14.44140625" style="10" customWidth="1"/>
    <col min="22" max="22" width="25.109375" style="7" bestFit="1" customWidth="1"/>
    <col min="23" max="23" width="19.6640625" style="7" bestFit="1" customWidth="1"/>
    <col min="24" max="24" width="19.6640625" style="7" customWidth="1"/>
    <col min="25" max="25" width="22" bestFit="1" customWidth="1"/>
    <col min="26" max="26" width="22" hidden="1" customWidth="1" outlineLevel="1"/>
    <col min="27" max="27" width="18.33203125" bestFit="1" customWidth="1" collapsed="1"/>
    <col min="28" max="28" width="16" bestFit="1" customWidth="1"/>
    <col min="29" max="29" width="51.33203125" bestFit="1" customWidth="1"/>
  </cols>
  <sheetData>
    <row r="4" spans="1:30" x14ac:dyDescent="0.3">
      <c r="AD4" s="11"/>
    </row>
    <row r="5" spans="1:30" ht="23.4" x14ac:dyDescent="0.45">
      <c r="A5" s="12" t="s">
        <v>0</v>
      </c>
      <c r="AD5" s="11"/>
    </row>
    <row r="7" spans="1:30" ht="15.6" customHeight="1" x14ac:dyDescent="0.3">
      <c r="A7" s="13" t="s">
        <v>1</v>
      </c>
      <c r="B7" s="13"/>
      <c r="C7" s="13"/>
      <c r="D7" s="13"/>
      <c r="E7" s="13"/>
      <c r="F7" s="13"/>
      <c r="G7" s="13"/>
      <c r="H7" s="13"/>
      <c r="I7" s="13"/>
      <c r="J7" s="13"/>
      <c r="K7" s="13"/>
      <c r="L7" s="13"/>
      <c r="M7" s="13"/>
      <c r="N7" s="13"/>
      <c r="O7" s="13"/>
      <c r="P7" s="13"/>
      <c r="Q7" s="13"/>
      <c r="R7" s="13"/>
      <c r="S7" s="13"/>
      <c r="T7" s="13"/>
      <c r="U7" s="13"/>
      <c r="V7" s="13"/>
      <c r="W7" s="13"/>
      <c r="X7" s="13"/>
      <c r="Y7" s="13"/>
      <c r="AD7" s="14"/>
    </row>
    <row r="8" spans="1:30" ht="15.6" customHeight="1" x14ac:dyDescent="0.3">
      <c r="A8" s="13"/>
      <c r="B8" s="13"/>
      <c r="C8" s="13"/>
      <c r="D8" s="13"/>
      <c r="E8" s="13"/>
      <c r="F8" s="13"/>
      <c r="G8" s="13"/>
      <c r="H8" s="13"/>
      <c r="I8" s="13"/>
      <c r="J8" s="13"/>
      <c r="K8" s="13"/>
      <c r="L8" s="13"/>
      <c r="M8" s="13"/>
      <c r="N8" s="13"/>
      <c r="O8" s="13"/>
      <c r="P8" s="13"/>
      <c r="Q8" s="13"/>
      <c r="R8" s="13"/>
      <c r="S8" s="13"/>
      <c r="T8" s="13"/>
      <c r="U8" s="13"/>
      <c r="V8" s="13"/>
      <c r="W8" s="13"/>
      <c r="X8" s="13"/>
      <c r="Y8" s="13"/>
    </row>
    <row r="9" spans="1:30" ht="25.8" x14ac:dyDescent="0.3">
      <c r="A9" s="13"/>
      <c r="B9" s="13"/>
      <c r="C9" s="13"/>
      <c r="D9" s="13"/>
      <c r="E9" s="13"/>
      <c r="F9" s="13"/>
      <c r="G9" s="13"/>
      <c r="H9" s="13"/>
      <c r="I9" s="13"/>
      <c r="J9" s="13"/>
      <c r="K9" s="13"/>
      <c r="L9" s="13"/>
      <c r="M9" s="13"/>
      <c r="N9" s="13"/>
      <c r="O9" s="13"/>
      <c r="P9" s="13"/>
      <c r="Q9" s="13"/>
      <c r="R9" s="13"/>
      <c r="S9" s="13"/>
      <c r="T9" s="13"/>
      <c r="U9" s="13"/>
      <c r="V9" s="13"/>
      <c r="W9" s="13"/>
      <c r="X9" s="13"/>
      <c r="Y9" s="13"/>
      <c r="AB9" s="15"/>
    </row>
    <row r="10" spans="1:30" ht="25.8" x14ac:dyDescent="0.3">
      <c r="A10" s="13"/>
      <c r="B10" s="13"/>
      <c r="C10" s="13"/>
      <c r="D10" s="13"/>
      <c r="E10" s="13"/>
      <c r="F10" s="13"/>
      <c r="G10" s="13"/>
      <c r="H10" s="13"/>
      <c r="I10" s="13"/>
      <c r="J10" s="13"/>
      <c r="K10" s="13"/>
      <c r="L10" s="13"/>
      <c r="M10" s="13"/>
      <c r="N10" s="13"/>
      <c r="O10" s="13"/>
      <c r="P10" s="13"/>
      <c r="Q10" s="13"/>
      <c r="R10" s="13"/>
      <c r="S10" s="13"/>
      <c r="T10" s="13"/>
      <c r="U10" s="13"/>
      <c r="V10" s="13"/>
      <c r="W10" s="13"/>
      <c r="X10" s="13"/>
      <c r="Y10" s="13"/>
      <c r="AB10" s="15"/>
    </row>
    <row r="11" spans="1:30" ht="15.6" customHeight="1" x14ac:dyDescent="0.3">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30" ht="15.6" customHeight="1" x14ac:dyDescent="0.3">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30" ht="15.6"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row>
    <row r="14" spans="1:30" ht="15.6" x14ac:dyDescent="0.3">
      <c r="B14" s="17"/>
      <c r="E14" s="18" t="s">
        <v>2</v>
      </c>
      <c r="F14" s="19">
        <f>SUMIFS($Y:$Y,$Z:$Z,"x")</f>
        <v>4900000</v>
      </c>
      <c r="G14" s="20"/>
      <c r="H14" s="20"/>
      <c r="I14" s="20"/>
      <c r="J14" s="20"/>
      <c r="K14" s="20"/>
      <c r="L14" s="20"/>
      <c r="M14" s="20"/>
      <c r="N14" s="20"/>
      <c r="O14" s="20"/>
      <c r="P14" s="20"/>
      <c r="Q14" s="20"/>
      <c r="R14" s="21"/>
      <c r="S14" s="22"/>
      <c r="T14" s="21"/>
      <c r="U14" s="23"/>
      <c r="V14" s="24"/>
      <c r="W14" s="24"/>
      <c r="X14" s="24"/>
    </row>
    <row r="16" spans="1:30" s="39" customFormat="1" ht="57.6" x14ac:dyDescent="0.3">
      <c r="A16" s="25" t="s">
        <v>3</v>
      </c>
      <c r="B16" s="25" t="s">
        <v>4</v>
      </c>
      <c r="C16" s="26" t="s">
        <v>5</v>
      </c>
      <c r="D16" s="26" t="s">
        <v>6</v>
      </c>
      <c r="E16" s="25" t="s">
        <v>7</v>
      </c>
      <c r="F16" s="25" t="s">
        <v>8</v>
      </c>
      <c r="G16" s="25" t="s">
        <v>9</v>
      </c>
      <c r="H16" s="27" t="s">
        <v>10</v>
      </c>
      <c r="I16" s="26" t="s">
        <v>11</v>
      </c>
      <c r="J16" s="26" t="s">
        <v>12</v>
      </c>
      <c r="K16" s="28" t="s">
        <v>13</v>
      </c>
      <c r="L16" s="25" t="s">
        <v>14</v>
      </c>
      <c r="M16" s="29" t="s">
        <v>15</v>
      </c>
      <c r="N16" s="29" t="s">
        <v>16</v>
      </c>
      <c r="O16" s="30" t="s">
        <v>17</v>
      </c>
      <c r="P16" s="30" t="s">
        <v>18</v>
      </c>
      <c r="Q16" s="28" t="s">
        <v>19</v>
      </c>
      <c r="R16" s="25" t="s">
        <v>20</v>
      </c>
      <c r="S16" s="31" t="s">
        <v>21</v>
      </c>
      <c r="T16" s="32" t="s">
        <v>22</v>
      </c>
      <c r="U16" s="33" t="s">
        <v>23</v>
      </c>
      <c r="V16" s="33" t="s">
        <v>24</v>
      </c>
      <c r="W16" s="34" t="s">
        <v>22</v>
      </c>
      <c r="X16" s="35" t="s">
        <v>25</v>
      </c>
      <c r="Y16" s="36" t="s">
        <v>26</v>
      </c>
      <c r="Z16" s="37" t="s">
        <v>27</v>
      </c>
      <c r="AA16" s="38"/>
    </row>
    <row r="17" spans="1:29" ht="72" x14ac:dyDescent="0.3">
      <c r="A17" s="40" t="s">
        <v>28</v>
      </c>
      <c r="B17" s="41" t="s">
        <v>29</v>
      </c>
      <c r="C17" s="42">
        <f>SUM(J17:J20)</f>
        <v>18600000</v>
      </c>
      <c r="D17" s="43" t="s">
        <v>30</v>
      </c>
      <c r="E17" s="44" t="s">
        <v>31</v>
      </c>
      <c r="F17" s="45" t="s">
        <v>32</v>
      </c>
      <c r="G17" s="46" t="s">
        <v>33</v>
      </c>
      <c r="H17" s="47">
        <v>0.85</v>
      </c>
      <c r="I17" s="48">
        <f>IF(U17&gt;0,J17/U17,0)</f>
        <v>372000</v>
      </c>
      <c r="J17" s="49">
        <f>K17*$J$21</f>
        <v>3720000</v>
      </c>
      <c r="K17" s="50">
        <v>0.2</v>
      </c>
      <c r="L17" s="51" t="s">
        <v>34</v>
      </c>
      <c r="M17" s="52">
        <v>0.77</v>
      </c>
      <c r="N17" s="53">
        <f>IF(I17&gt;25000,0.03+10/(I17^0.4),0.03+10/(25000^0.4))</f>
        <v>8.9126588820186245E-2</v>
      </c>
      <c r="O17" s="49">
        <f>H17*I17*M17*N17</f>
        <v>21700.007086406025</v>
      </c>
      <c r="P17" s="54">
        <f t="shared" ref="P17:P20" si="0">IF(I17&lt;25000000,MIN(0.15*((1/24)-(I17/24000000)+0.25/0.15),25%),10%)</f>
        <v>0.25</v>
      </c>
      <c r="Q17" s="55">
        <f>O17*P17</f>
        <v>5425.0017716015063</v>
      </c>
      <c r="R17" s="55">
        <f>+O17+Q17</f>
        <v>27125.008858007532</v>
      </c>
      <c r="S17" s="56">
        <v>0.1</v>
      </c>
      <c r="T17" s="55">
        <f t="shared" ref="T17:T20" si="1">(I17*H17*N17*S17)*(100%+P17)</f>
        <v>3522.7284231178619</v>
      </c>
      <c r="U17" s="57">
        <v>10</v>
      </c>
      <c r="V17" s="55">
        <f t="shared" ref="V17:V20" si="2">R17*U17</f>
        <v>271250.0885800753</v>
      </c>
      <c r="W17" s="55">
        <f t="shared" ref="W17:W20" si="3">T17*U17</f>
        <v>35227.284231178623</v>
      </c>
      <c r="X17" s="58">
        <f>+Z17-V21</f>
        <v>22991.902424477041</v>
      </c>
      <c r="Y17" s="59">
        <f>+V21+X17</f>
        <v>1600000</v>
      </c>
      <c r="Z17" s="60">
        <v>1600000</v>
      </c>
      <c r="AA17" s="61"/>
    </row>
    <row r="18" spans="1:29" ht="96.6" x14ac:dyDescent="0.3">
      <c r="A18" s="62"/>
      <c r="B18" s="41"/>
      <c r="C18" s="42"/>
      <c r="D18" s="43"/>
      <c r="E18" s="46" t="s">
        <v>35</v>
      </c>
      <c r="F18" s="45" t="s">
        <v>36</v>
      </c>
      <c r="G18" s="46" t="s">
        <v>37</v>
      </c>
      <c r="H18" s="47">
        <v>1.1499999999999999</v>
      </c>
      <c r="I18" s="48">
        <f t="shared" ref="I18:I20" si="4">IF(U18&gt;0,J18/U18,0)</f>
        <v>372000</v>
      </c>
      <c r="J18" s="49">
        <f>K18*$J$21</f>
        <v>3720000</v>
      </c>
      <c r="K18" s="50">
        <v>0.2</v>
      </c>
      <c r="L18" s="51" t="s">
        <v>34</v>
      </c>
      <c r="M18" s="52">
        <v>0.77</v>
      </c>
      <c r="N18" s="53">
        <f t="shared" ref="N18:N20" si="5">IF(I18&gt;25000,0.03+10/(I18^0.4),0.03+10/(25000^0.4))</f>
        <v>8.9126588820186245E-2</v>
      </c>
      <c r="O18" s="49">
        <f t="shared" ref="O18:O20" si="6">H18*I18*M18*N18</f>
        <v>29358.833116902264</v>
      </c>
      <c r="P18" s="54">
        <f t="shared" si="0"/>
        <v>0.25</v>
      </c>
      <c r="Q18" s="55">
        <f t="shared" ref="Q18:Q20" si="7">O18*P18</f>
        <v>7339.708279225566</v>
      </c>
      <c r="R18" s="55">
        <f t="shared" ref="R18:R20" si="8">+O18+Q18</f>
        <v>36698.541396127832</v>
      </c>
      <c r="S18" s="56">
        <v>0.1</v>
      </c>
      <c r="T18" s="55">
        <f t="shared" si="1"/>
        <v>4766.0443371594592</v>
      </c>
      <c r="U18" s="57">
        <v>10</v>
      </c>
      <c r="V18" s="55">
        <f t="shared" si="2"/>
        <v>366985.41396127833</v>
      </c>
      <c r="W18" s="55">
        <f t="shared" si="3"/>
        <v>47660.443371594592</v>
      </c>
      <c r="X18" s="63"/>
      <c r="Y18" s="64"/>
      <c r="Z18" s="65"/>
    </row>
    <row r="19" spans="1:29" ht="110.4" x14ac:dyDescent="0.3">
      <c r="A19" s="62"/>
      <c r="B19" s="41"/>
      <c r="C19" s="42"/>
      <c r="D19" s="43"/>
      <c r="E19" s="44" t="s">
        <v>38</v>
      </c>
      <c r="F19" s="45" t="s">
        <v>39</v>
      </c>
      <c r="G19" s="46" t="s">
        <v>37</v>
      </c>
      <c r="H19" s="47">
        <v>1.3</v>
      </c>
      <c r="I19" s="48">
        <f t="shared" si="4"/>
        <v>837000</v>
      </c>
      <c r="J19" s="49">
        <f>K19*$J$21</f>
        <v>8370000</v>
      </c>
      <c r="K19" s="50">
        <v>0.45</v>
      </c>
      <c r="L19" s="51" t="s">
        <v>34</v>
      </c>
      <c r="M19" s="52">
        <v>0.77</v>
      </c>
      <c r="N19" s="53">
        <f t="shared" si="5"/>
        <v>7.2747411001803625E-2</v>
      </c>
      <c r="O19" s="49">
        <f t="shared" si="6"/>
        <v>60950.472591518141</v>
      </c>
      <c r="P19" s="54">
        <f t="shared" si="0"/>
        <v>0.25</v>
      </c>
      <c r="Q19" s="55">
        <f t="shared" si="7"/>
        <v>15237.618147879535</v>
      </c>
      <c r="R19" s="55">
        <f t="shared" si="8"/>
        <v>76188.090739397681</v>
      </c>
      <c r="S19" s="56">
        <v>0.1</v>
      </c>
      <c r="T19" s="55">
        <f t="shared" si="1"/>
        <v>9894.557238882815</v>
      </c>
      <c r="U19" s="57">
        <v>10</v>
      </c>
      <c r="V19" s="55">
        <f t="shared" si="2"/>
        <v>761880.90739397681</v>
      </c>
      <c r="W19" s="55">
        <f t="shared" si="3"/>
        <v>98945.57238882815</v>
      </c>
      <c r="X19" s="63"/>
      <c r="Y19" s="64"/>
      <c r="Z19" s="65"/>
    </row>
    <row r="20" spans="1:29" ht="115.2" x14ac:dyDescent="0.3">
      <c r="A20" s="62"/>
      <c r="B20" s="41"/>
      <c r="C20" s="42"/>
      <c r="D20" s="43"/>
      <c r="E20" s="46" t="s">
        <v>40</v>
      </c>
      <c r="F20" s="45" t="str">
        <f>_xlfn.XLOOKUP($E20,'[1]Tabella-Z1 (2)'!$C:$C,'[1]Tabella-Z1 (2)'!$G:$G)</f>
        <v>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v>
      </c>
      <c r="G20" s="45" t="str">
        <f>IF(_xlfn.XLOOKUP($E20,'[1]Tabella-Z1 (2)'!$C:$C,'[1]Tabella-Z1 (2)'!$D:$D,"-")&lt;&gt;"",_xlfn.XLOOKUP($E20,'[1]Tabella-Z1 (2)'!$C:$C,'[1]Tabella-Z1 (2)'!$D:$D,"-"),"-")</f>
        <v>IX/b</v>
      </c>
      <c r="H20" s="66">
        <f>_xlfn.XLOOKUP($E20,'[1]Tabella-Z1 (2)'!$C:$C,'[1]Tabella-Z1 (2)'!$H:$H)</f>
        <v>0.9</v>
      </c>
      <c r="I20" s="48">
        <f t="shared" si="4"/>
        <v>279000</v>
      </c>
      <c r="J20" s="49">
        <f>K20*$J$21</f>
        <v>2790000</v>
      </c>
      <c r="K20" s="50">
        <v>0.15</v>
      </c>
      <c r="L20" s="51" t="s">
        <v>41</v>
      </c>
      <c r="M20" s="52">
        <v>0.58499999999999996</v>
      </c>
      <c r="N20" s="53">
        <f t="shared" si="5"/>
        <v>9.6337380559489733E-2</v>
      </c>
      <c r="O20" s="49">
        <f t="shared" si="6"/>
        <v>14151.335011215406</v>
      </c>
      <c r="P20" s="54">
        <f t="shared" si="0"/>
        <v>0.25</v>
      </c>
      <c r="Q20" s="55">
        <f t="shared" si="7"/>
        <v>3537.8337528038514</v>
      </c>
      <c r="R20" s="55">
        <f t="shared" si="8"/>
        <v>17689.168764019258</v>
      </c>
      <c r="S20" s="56">
        <v>0.1</v>
      </c>
      <c r="T20" s="55">
        <f t="shared" si="1"/>
        <v>3023.7895323109838</v>
      </c>
      <c r="U20" s="57">
        <v>10</v>
      </c>
      <c r="V20" s="55">
        <f t="shared" si="2"/>
        <v>176891.68764019257</v>
      </c>
      <c r="W20" s="55">
        <f t="shared" si="3"/>
        <v>30237.895323109839</v>
      </c>
      <c r="X20" s="63"/>
      <c r="Y20" s="64"/>
      <c r="Z20" s="65"/>
      <c r="AA20" s="61"/>
      <c r="AB20" s="61"/>
      <c r="AC20" s="61">
        <f>AB20+X21</f>
        <v>22991.902424477041</v>
      </c>
    </row>
    <row r="21" spans="1:29" s="83" customFormat="1" ht="14.4" customHeight="1" x14ac:dyDescent="0.3">
      <c r="A21" s="67"/>
      <c r="B21" s="68"/>
      <c r="C21" s="68"/>
      <c r="D21" s="68"/>
      <c r="E21" s="68"/>
      <c r="F21" s="68"/>
      <c r="G21" s="68"/>
      <c r="H21" s="69" t="s">
        <v>42</v>
      </c>
      <c r="I21" s="70">
        <f>SUMPRODUCT(I17:I20,U17:U20)</f>
        <v>18600000</v>
      </c>
      <c r="J21" s="71">
        <v>18600000</v>
      </c>
      <c r="K21" s="72">
        <f>SUM(K17:K20)</f>
        <v>1</v>
      </c>
      <c r="L21" s="68"/>
      <c r="M21" s="68"/>
      <c r="N21" s="73"/>
      <c r="O21" s="68"/>
      <c r="P21" s="68"/>
      <c r="Q21" s="68"/>
      <c r="R21" s="74"/>
      <c r="S21" s="75"/>
      <c r="T21" s="76" t="s">
        <v>43</v>
      </c>
      <c r="U21" s="77">
        <f>SUM(U17:U20)</f>
        <v>40</v>
      </c>
      <c r="V21" s="78">
        <f>SUM(V17:V20)</f>
        <v>1577008.097575523</v>
      </c>
      <c r="W21" s="78">
        <f>SUM(W17:W20)</f>
        <v>212071.19531471122</v>
      </c>
      <c r="X21" s="79">
        <f>+X17</f>
        <v>22991.902424477041</v>
      </c>
      <c r="Y21" s="80">
        <f>+Y17</f>
        <v>1600000</v>
      </c>
      <c r="Z21" s="81" t="s">
        <v>44</v>
      </c>
      <c r="AA21" s="82"/>
    </row>
    <row r="22" spans="1:29" ht="151.80000000000001" x14ac:dyDescent="0.3">
      <c r="A22" s="40" t="s">
        <v>45</v>
      </c>
      <c r="B22" s="41" t="s">
        <v>29</v>
      </c>
      <c r="C22" s="42">
        <f>SUM(J22:J23)</f>
        <v>17500000</v>
      </c>
      <c r="D22" s="43" t="s">
        <v>30</v>
      </c>
      <c r="E22" s="44" t="s">
        <v>46</v>
      </c>
      <c r="F22" s="45" t="str">
        <f>_xlfn.XLOOKUP($E22,'[1]Tabella-Z1 (2)'!$C:$C,'[1]Tabella-Z1 (2)'!$G:$G)</f>
        <v>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v>
      </c>
      <c r="G22" s="45" t="str">
        <f>IF(_xlfn.XLOOKUP($E22,'[1]Tabella-Z1 (2)'!$C:$C,'[1]Tabella-Z1 (2)'!$D:$D,"-")&lt;&gt;"",_xlfn.XLOOKUP($E22,'[1]Tabella-Z1 (2)'!$C:$C,'[1]Tabella-Z1 (2)'!$D:$D,"-"),"")</f>
        <v>III/a</v>
      </c>
      <c r="H22" s="66">
        <f>_xlfn.XLOOKUP($E22,'[1]Tabella-Z1 (2)'!$C:$C,'[1]Tabella-Z1 (2)'!$H:$H)</f>
        <v>0.75</v>
      </c>
      <c r="I22" s="48">
        <f>IF(U22&gt;0,J22/U22,0)</f>
        <v>875000</v>
      </c>
      <c r="J22" s="49">
        <f>K22*$J$24</f>
        <v>5250000</v>
      </c>
      <c r="K22" s="50">
        <v>0.3</v>
      </c>
      <c r="L22" s="51" t="s">
        <v>47</v>
      </c>
      <c r="M22" s="52">
        <v>0.83</v>
      </c>
      <c r="N22" s="53">
        <f>IF(I22&gt;25000,0.03+10/(I22^0.4),0.03+10/(25000^0.4))</f>
        <v>7.1994921984394195E-2</v>
      </c>
      <c r="O22" s="49">
        <f>H22*I22*M22*N22</f>
        <v>39214.73406837471</v>
      </c>
      <c r="P22" s="54">
        <f t="shared" ref="P22:P23" si="9">IF(I22&lt;25000000,MIN(0.15*((1/24)-(I22/24000000)+0.25/0.15),25%),10%)</f>
        <v>0.25</v>
      </c>
      <c r="Q22" s="55">
        <f>O22*P22</f>
        <v>9803.6835170936774</v>
      </c>
      <c r="R22" s="55">
        <f>+O22+Q22</f>
        <v>49018.417585468385</v>
      </c>
      <c r="S22" s="56">
        <v>0.1</v>
      </c>
      <c r="T22" s="55">
        <f t="shared" ref="T22:T23" si="10">(I22*H22*N22*S22)*(100%+P22)</f>
        <v>5905.833444032336</v>
      </c>
      <c r="U22" s="57">
        <v>6</v>
      </c>
      <c r="V22" s="55">
        <f t="shared" ref="V22:V23" si="11">R22*U22</f>
        <v>294110.50551281031</v>
      </c>
      <c r="W22" s="55">
        <f t="shared" ref="W22:W23" si="12">T22*U22</f>
        <v>35435.000664194013</v>
      </c>
      <c r="X22" s="58">
        <f>+Z22-V24</f>
        <v>16375.894413156901</v>
      </c>
      <c r="Y22" s="59">
        <f>+V24+X22</f>
        <v>1500000</v>
      </c>
      <c r="Z22" s="60">
        <v>1500000</v>
      </c>
    </row>
    <row r="23" spans="1:29" ht="115.2" x14ac:dyDescent="0.3">
      <c r="A23" s="62"/>
      <c r="B23" s="41"/>
      <c r="C23" s="42"/>
      <c r="D23" s="43"/>
      <c r="E23" s="44" t="s">
        <v>38</v>
      </c>
      <c r="F23" s="45" t="str">
        <f>_xlfn.XLOOKUP($E23,'[1]Tabella-Z1 (2)'!$C:$C,'[1]Tabella-Z1 (2)'!$G:$G)</f>
        <v>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v>
      </c>
      <c r="G23" s="45" t="str">
        <f>IF(_xlfn.XLOOKUP($E23,'[1]Tabella-Z1 (2)'!$C:$C,'[1]Tabella-Z1 (2)'!$D:$D,"-")&lt;&gt;"",_xlfn.XLOOKUP($E23,'[1]Tabella-Z1 (2)'!$C:$C,'[1]Tabella-Z1 (2)'!$D:$D,"-"),"-")</f>
        <v>III/c</v>
      </c>
      <c r="H23" s="66">
        <f>_xlfn.XLOOKUP($E23,'[1]Tabella-Z1 (2)'!$C:$C,'[1]Tabella-Z1 (2)'!$H:$H)</f>
        <v>1.3</v>
      </c>
      <c r="I23" s="48">
        <f t="shared" ref="I23" si="13">IF(U23&gt;0,J23/U23,0)</f>
        <v>875000</v>
      </c>
      <c r="J23" s="49">
        <f>K23*$J$24</f>
        <v>12250000</v>
      </c>
      <c r="K23" s="50">
        <v>0.7</v>
      </c>
      <c r="L23" s="51" t="s">
        <v>47</v>
      </c>
      <c r="M23" s="52">
        <v>0.83</v>
      </c>
      <c r="N23" s="53">
        <f t="shared" ref="N23" si="14">IF(I23&gt;25000,0.03+10/(I23^0.4),0.03+10/(25000^0.4))</f>
        <v>7.1994921984394195E-2</v>
      </c>
      <c r="O23" s="49">
        <f t="shared" ref="O23" si="15">H23*I23*M23*N23</f>
        <v>67972.205718516168</v>
      </c>
      <c r="P23" s="54">
        <f t="shared" si="9"/>
        <v>0.25</v>
      </c>
      <c r="Q23" s="55">
        <f t="shared" ref="Q23" si="16">O23*P23</f>
        <v>16993.051429629042</v>
      </c>
      <c r="R23" s="55">
        <f t="shared" ref="R23" si="17">+O23+Q23</f>
        <v>84965.257148145203</v>
      </c>
      <c r="S23" s="56">
        <v>0.1</v>
      </c>
      <c r="T23" s="55">
        <f t="shared" si="10"/>
        <v>10236.77796965605</v>
      </c>
      <c r="U23" s="57">
        <v>14</v>
      </c>
      <c r="V23" s="55">
        <f t="shared" si="11"/>
        <v>1189513.6000740328</v>
      </c>
      <c r="W23" s="55">
        <f t="shared" si="12"/>
        <v>143314.89157518471</v>
      </c>
      <c r="X23" s="63"/>
      <c r="Y23" s="64"/>
      <c r="Z23" s="65"/>
    </row>
    <row r="24" spans="1:29" s="83" customFormat="1" ht="14.4" customHeight="1" x14ac:dyDescent="0.3">
      <c r="A24" s="67"/>
      <c r="B24" s="68"/>
      <c r="C24" s="68"/>
      <c r="D24" s="68"/>
      <c r="E24" s="68"/>
      <c r="F24" s="68"/>
      <c r="G24" s="68"/>
      <c r="H24" s="69" t="s">
        <v>42</v>
      </c>
      <c r="I24" s="70">
        <f>SUMPRODUCT(I22:I23,U22:U23)</f>
        <v>17500000</v>
      </c>
      <c r="J24" s="71">
        <v>17500000</v>
      </c>
      <c r="K24" s="72">
        <f>SUM(K22:K23)</f>
        <v>1</v>
      </c>
      <c r="L24" s="68"/>
      <c r="M24" s="68"/>
      <c r="N24" s="68"/>
      <c r="O24" s="68"/>
      <c r="P24" s="68"/>
      <c r="Q24" s="68"/>
      <c r="R24" s="74"/>
      <c r="S24" s="75"/>
      <c r="T24" s="76" t="s">
        <v>43</v>
      </c>
      <c r="U24" s="77">
        <f>SUM(U22:U23)</f>
        <v>20</v>
      </c>
      <c r="V24" s="78">
        <f>SUM(V22:V23)</f>
        <v>1483624.1055868431</v>
      </c>
      <c r="W24" s="78">
        <f>SUM(W22:W23)</f>
        <v>178749.89223937871</v>
      </c>
      <c r="X24" s="79">
        <f>+X22</f>
        <v>16375.894413156901</v>
      </c>
      <c r="Y24" s="80">
        <f>+Y22</f>
        <v>1500000</v>
      </c>
      <c r="Z24" s="81" t="s">
        <v>44</v>
      </c>
      <c r="AA24" s="84"/>
    </row>
    <row r="25" spans="1:29" ht="129.6" x14ac:dyDescent="0.3">
      <c r="A25" s="40" t="s">
        <v>48</v>
      </c>
      <c r="B25" s="41" t="s">
        <v>29</v>
      </c>
      <c r="C25" s="42">
        <f>SUM(J25:J27)</f>
        <v>19000000</v>
      </c>
      <c r="D25" s="43" t="s">
        <v>30</v>
      </c>
      <c r="E25" s="46" t="s">
        <v>38</v>
      </c>
      <c r="F25" s="45" t="str">
        <f>_xlfn.XLOOKUP($E25,'[1]Tabella-Z1 (2)'!$C:$C,'[1]Tabella-Z1 (2)'!$G:$G)</f>
        <v>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v>
      </c>
      <c r="G25" s="45" t="str">
        <f>IF(_xlfn.XLOOKUP($E25,'[1]Tabella-Z1 (2)'!$C:$C,'[1]Tabella-Z1 (2)'!$D:$D,"-")&lt;&gt;"",_xlfn.XLOOKUP($E25,'[1]Tabella-Z1 (2)'!$C:$C,'[1]Tabella-Z1 (2)'!$D:$D,"-"),"-")</f>
        <v>III/c</v>
      </c>
      <c r="H25" s="66">
        <f>_xlfn.XLOOKUP($E25,'[1]Tabella-Z1 (2)'!$C:$C,'[1]Tabella-Z1 (2)'!$H:$H)</f>
        <v>1.3</v>
      </c>
      <c r="I25" s="48">
        <f t="shared" ref="I25:I27" si="18">IF(U25&gt;0,J25/U25,0)</f>
        <v>380000</v>
      </c>
      <c r="J25" s="49">
        <f>K25*$J$28</f>
        <v>3800000</v>
      </c>
      <c r="K25" s="50">
        <v>0.2</v>
      </c>
      <c r="L25" s="51" t="s">
        <v>49</v>
      </c>
      <c r="M25" s="52">
        <v>1.0189999999999999</v>
      </c>
      <c r="N25" s="53">
        <f>IF(I25&gt;25000,0.03+10/(I25^0.4),0.03+10/(25000^0.4))</f>
        <v>8.8625500221629794E-2</v>
      </c>
      <c r="O25" s="49">
        <f>H25*I25*M25*N25</f>
        <v>44612.836054565327</v>
      </c>
      <c r="P25" s="54">
        <f t="shared" ref="P25:P27" si="19">IF(I25&lt;25000000,MIN(0.15*((1/24)-(I25/24000000)+0.25/0.15),25%),10%)</f>
        <v>0.25</v>
      </c>
      <c r="Q25" s="55">
        <f>O25*P25</f>
        <v>11153.209013641332</v>
      </c>
      <c r="R25" s="55">
        <f>+O25+Q25</f>
        <v>55766.045068206658</v>
      </c>
      <c r="S25" s="56">
        <v>0.1</v>
      </c>
      <c r="T25" s="55">
        <f t="shared" ref="T25:T27" si="20">(I25*H25*N25*S25)*(100%+P25)</f>
        <v>5472.6246386856401</v>
      </c>
      <c r="U25" s="57">
        <v>10</v>
      </c>
      <c r="V25" s="55">
        <f t="shared" ref="V25:V27" si="21">R25*U25</f>
        <v>557660.45068206661</v>
      </c>
      <c r="W25" s="55">
        <f t="shared" ref="W25:W27" si="22">T25*U25</f>
        <v>54726.246386856401</v>
      </c>
      <c r="X25" s="58">
        <f>+Z25-V28</f>
        <v>16610.660256718751</v>
      </c>
      <c r="Y25" s="59">
        <f>+V28+X25</f>
        <v>1500000</v>
      </c>
      <c r="Z25" s="60">
        <v>1500000</v>
      </c>
    </row>
    <row r="26" spans="1:29" ht="129.6" x14ac:dyDescent="0.3">
      <c r="A26" s="62"/>
      <c r="B26" s="41"/>
      <c r="C26" s="42"/>
      <c r="D26" s="43"/>
      <c r="E26" s="44" t="s">
        <v>40</v>
      </c>
      <c r="F26" s="45" t="str">
        <f>_xlfn.XLOOKUP($E26,'[1]Tabella-Z1 (2)'!$C:$C,'[1]Tabella-Z1 (2)'!$G:$G)</f>
        <v>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v>
      </c>
      <c r="G26" s="45" t="str">
        <f>IF(_xlfn.XLOOKUP($E26,'[1]Tabella-Z1 (2)'!$C:$C,'[1]Tabella-Z1 (2)'!$D:$D,"-")&lt;&gt;"",_xlfn.XLOOKUP($E26,'[1]Tabella-Z1 (2)'!$C:$C,'[1]Tabella-Z1 (2)'!$D:$D,"-"),"-")</f>
        <v>IX/b</v>
      </c>
      <c r="H26" s="66">
        <f>_xlfn.XLOOKUP($E26,'[1]Tabella-Z1 (2)'!$C:$C,'[1]Tabella-Z1 (2)'!$H:$H)</f>
        <v>0.9</v>
      </c>
      <c r="I26" s="48">
        <f t="shared" si="18"/>
        <v>518181.81818181818</v>
      </c>
      <c r="J26" s="49">
        <f t="shared" ref="J26:J27" si="23">K26*$J$28</f>
        <v>5700000</v>
      </c>
      <c r="K26" s="50">
        <v>0.3</v>
      </c>
      <c r="L26" s="51" t="s">
        <v>49</v>
      </c>
      <c r="M26" s="52">
        <v>0.73499999999999999</v>
      </c>
      <c r="N26" s="53">
        <f t="shared" ref="N26:N27" si="24">IF(I26&gt;25000,0.03+10/(I26^0.4),0.03+10/(25000^0.4))</f>
        <v>8.1785375749842085E-2</v>
      </c>
      <c r="O26" s="49">
        <f t="shared" ref="O26:O27" si="25">H26*I26*M26*N26</f>
        <v>28034.168048506097</v>
      </c>
      <c r="P26" s="54">
        <f t="shared" si="19"/>
        <v>0.25</v>
      </c>
      <c r="Q26" s="55">
        <f t="shared" ref="Q26:Q27" si="26">O26*P26</f>
        <v>7008.5420121265242</v>
      </c>
      <c r="R26" s="55">
        <f t="shared" ref="R26:R27" si="27">+O26+Q26</f>
        <v>35042.71006063262</v>
      </c>
      <c r="S26" s="56">
        <v>0.1</v>
      </c>
      <c r="T26" s="55">
        <f t="shared" si="20"/>
        <v>4767.7156545078396</v>
      </c>
      <c r="U26" s="57">
        <v>11</v>
      </c>
      <c r="V26" s="55">
        <f t="shared" si="21"/>
        <v>385469.8106669588</v>
      </c>
      <c r="W26" s="55">
        <f t="shared" si="22"/>
        <v>52444.872199586236</v>
      </c>
      <c r="X26" s="63"/>
      <c r="Y26" s="64"/>
      <c r="Z26" s="65"/>
    </row>
    <row r="27" spans="1:29" ht="129.6" x14ac:dyDescent="0.3">
      <c r="A27" s="62"/>
      <c r="B27" s="41"/>
      <c r="C27" s="42"/>
      <c r="D27" s="43"/>
      <c r="E27" s="44" t="s">
        <v>50</v>
      </c>
      <c r="F27" s="45" t="str">
        <f>_xlfn.XLOOKUP($E27,'[1]Tabella-Z1 (2)'!$C:$C,'[1]Tabella-Z1 (2)'!$G:$G)</f>
        <v>Reti locali e geografiche, cablaggi strutturati, impianti in fibra ottica, Impianti di videosorveglianza, controllo accessi, identificazione targhe di veicoli ecc Sistemi wireless, reti wifi, ponti radio.</v>
      </c>
      <c r="G27" s="45" t="str">
        <f>IF(_xlfn.XLOOKUP($E27,'[1]Tabella-Z1 (2)'!$C:$C,'[1]Tabella-Z1 (2)'!$D:$D,"-")&lt;&gt;"",_xlfn.XLOOKUP($E27,'[1]Tabella-Z1 (2)'!$C:$C,'[1]Tabella-Z1 (2)'!$D:$D,"-"),"-")</f>
        <v>-</v>
      </c>
      <c r="H27" s="66">
        <f>_xlfn.XLOOKUP($E27,'[1]Tabella-Z1 (2)'!$C:$C,'[1]Tabella-Z1 (2)'!$H:$H)</f>
        <v>0.7</v>
      </c>
      <c r="I27" s="48">
        <f t="shared" si="18"/>
        <v>863636.36363636365</v>
      </c>
      <c r="J27" s="49">
        <f t="shared" si="23"/>
        <v>9500000</v>
      </c>
      <c r="K27" s="50">
        <v>0.5</v>
      </c>
      <c r="L27" s="51" t="s">
        <v>49</v>
      </c>
      <c r="M27" s="52">
        <v>0.9</v>
      </c>
      <c r="N27" s="53">
        <f t="shared" si="24"/>
        <v>7.2215081489624869E-2</v>
      </c>
      <c r="O27" s="49">
        <f t="shared" si="25"/>
        <v>39291.569337764071</v>
      </c>
      <c r="P27" s="54">
        <f t="shared" si="19"/>
        <v>0.25</v>
      </c>
      <c r="Q27" s="55">
        <f t="shared" si="26"/>
        <v>9822.8923344410177</v>
      </c>
      <c r="R27" s="55">
        <f t="shared" si="27"/>
        <v>49114.461672205085</v>
      </c>
      <c r="S27" s="56">
        <v>0.1</v>
      </c>
      <c r="T27" s="55">
        <f t="shared" si="20"/>
        <v>5457.1624080227875</v>
      </c>
      <c r="U27" s="57">
        <v>11</v>
      </c>
      <c r="V27" s="55">
        <f t="shared" si="21"/>
        <v>540259.07839425595</v>
      </c>
      <c r="W27" s="55">
        <f t="shared" si="22"/>
        <v>60028.786488250662</v>
      </c>
      <c r="X27" s="63"/>
      <c r="Y27" s="64"/>
      <c r="Z27" s="65"/>
      <c r="AA27" s="61"/>
    </row>
    <row r="28" spans="1:29" s="83" customFormat="1" ht="14.4" customHeight="1" x14ac:dyDescent="0.3">
      <c r="A28" s="67"/>
      <c r="B28" s="68"/>
      <c r="C28" s="68"/>
      <c r="D28" s="68"/>
      <c r="E28" s="68"/>
      <c r="F28" s="68"/>
      <c r="G28" s="68"/>
      <c r="H28" s="69" t="s">
        <v>42</v>
      </c>
      <c r="I28" s="70">
        <f>SUMPRODUCT(I25:I27,U25:U27)</f>
        <v>19000000</v>
      </c>
      <c r="J28" s="71">
        <v>19000000</v>
      </c>
      <c r="K28" s="72">
        <f>SUM(K25:K27)</f>
        <v>1</v>
      </c>
      <c r="L28" s="68"/>
      <c r="M28" s="68"/>
      <c r="N28" s="73"/>
      <c r="O28" s="68"/>
      <c r="P28" s="68"/>
      <c r="Q28" s="68"/>
      <c r="R28" s="74"/>
      <c r="S28" s="75"/>
      <c r="T28" s="76" t="s">
        <v>43</v>
      </c>
      <c r="U28" s="77">
        <f>SUM(U25:U27)</f>
        <v>32</v>
      </c>
      <c r="V28" s="78">
        <f>SUM(V25:V27)</f>
        <v>1483389.3397432812</v>
      </c>
      <c r="W28" s="78">
        <f>SUM(W25:W27)</f>
        <v>167199.90507469329</v>
      </c>
      <c r="X28" s="79">
        <f>+X25</f>
        <v>16610.660256718751</v>
      </c>
      <c r="Y28" s="80">
        <f>+Y25</f>
        <v>1500000</v>
      </c>
      <c r="Z28" s="81" t="s">
        <v>44</v>
      </c>
    </row>
    <row r="29" spans="1:29" ht="115.2" x14ac:dyDescent="0.3">
      <c r="A29" s="85" t="s">
        <v>51</v>
      </c>
      <c r="B29" s="86" t="s">
        <v>29</v>
      </c>
      <c r="C29" s="49">
        <f>SUM(J29:J29)</f>
        <v>3200000</v>
      </c>
      <c r="D29" s="87" t="s">
        <v>30</v>
      </c>
      <c r="E29" s="44" t="s">
        <v>38</v>
      </c>
      <c r="F29" s="45" t="str">
        <f>_xlfn.XLOOKUP($E29,'[1]Tabella-Z1 (2)'!$C:$C,'[1]Tabella-Z1 (2)'!$G:$G)</f>
        <v>Impianti elettrici in genere, impianti di illuminazione, telefonici, di sicurezza , di rivelazione incendi , fotovoltaici, a corredo di edifici e costruzioni complessi - cablaggi strutturati - impianti in fibra ottica - singole apparecchiature per laboratori e impianti pilota di tipo complesso</v>
      </c>
      <c r="G29" s="45" t="str">
        <f>IF(_xlfn.XLOOKUP($E29,'[1]Tabella-Z1 (2)'!$C:$C,'[1]Tabella-Z1 (2)'!$D:$D,"-")&lt;&gt;"",_xlfn.XLOOKUP($E29,'[1]Tabella-Z1 (2)'!$C:$C,'[1]Tabella-Z1 (2)'!$D:$D,"-"),"-")</f>
        <v>III/c</v>
      </c>
      <c r="H29" s="66">
        <f>_xlfn.XLOOKUP($E29,'[1]Tabella-Z1 (2)'!$C:$C,'[1]Tabella-Z1 (2)'!$H:$H)</f>
        <v>1.3</v>
      </c>
      <c r="I29" s="48">
        <f t="shared" ref="I29" si="28">IF(U29&gt;0,J29/U29,0)</f>
        <v>1066666.6666666667</v>
      </c>
      <c r="J29" s="49">
        <f>K29*$J$30</f>
        <v>3200000</v>
      </c>
      <c r="K29" s="50">
        <v>1</v>
      </c>
      <c r="L29" s="51" t="s">
        <v>47</v>
      </c>
      <c r="M29" s="52">
        <v>0.83</v>
      </c>
      <c r="N29" s="53">
        <f>IF(I29&gt;25000,0.03+10/(I29^0.4),0.03+10/(25000^0.4))</f>
        <v>6.8796139347883978E-2</v>
      </c>
      <c r="O29" s="49">
        <f>H29*I29*M29*N29</f>
        <v>79179.769980124591</v>
      </c>
      <c r="P29" s="54">
        <f t="shared" ref="P29" si="29">IF(I29&lt;25000000,MIN(0.15*((1/24)-(I29/24000000)+0.25/0.15),25%),10%)</f>
        <v>0.24958333333333332</v>
      </c>
      <c r="Q29" s="55">
        <f>O29*P29</f>
        <v>19761.950924206096</v>
      </c>
      <c r="R29" s="55">
        <f>+O29+Q29</f>
        <v>98941.720904330694</v>
      </c>
      <c r="S29" s="56">
        <v>0.1</v>
      </c>
      <c r="T29" s="55">
        <f t="shared" ref="T29" si="30">(I29*H29*N29*S29)*(100%+P29)</f>
        <v>11920.689265582012</v>
      </c>
      <c r="U29" s="57">
        <v>3</v>
      </c>
      <c r="V29" s="55">
        <f t="shared" ref="V29" si="31">R29*U29</f>
        <v>296825.16271299205</v>
      </c>
      <c r="W29" s="55">
        <f t="shared" ref="W29" si="32">T29*U29</f>
        <v>35762.067796746036</v>
      </c>
      <c r="X29" s="88">
        <f>+Z29-V30</f>
        <v>3174.8372870079475</v>
      </c>
      <c r="Y29" s="89">
        <f>+V30+X29</f>
        <v>300000</v>
      </c>
      <c r="Z29" s="90">
        <v>300000</v>
      </c>
    </row>
    <row r="30" spans="1:29" s="83" customFormat="1" ht="14.4" customHeight="1" x14ac:dyDescent="0.3">
      <c r="A30" s="67"/>
      <c r="B30" s="68"/>
      <c r="C30" s="68"/>
      <c r="D30" s="68"/>
      <c r="E30" s="68"/>
      <c r="F30" s="68"/>
      <c r="G30" s="68"/>
      <c r="H30" s="69" t="s">
        <v>42</v>
      </c>
      <c r="I30" s="70">
        <f>SUMPRODUCT(I29:I29,U29:U29)</f>
        <v>3200000</v>
      </c>
      <c r="J30" s="71">
        <v>3200000</v>
      </c>
      <c r="K30" s="72">
        <f>SUM(K29:K29)</f>
        <v>1</v>
      </c>
      <c r="L30" s="68"/>
      <c r="M30" s="68"/>
      <c r="N30" s="73"/>
      <c r="O30" s="68"/>
      <c r="P30" s="68"/>
      <c r="Q30" s="68"/>
      <c r="R30" s="74"/>
      <c r="S30" s="75"/>
      <c r="T30" s="76" t="s">
        <v>43</v>
      </c>
      <c r="U30" s="77">
        <f>SUM(U29:U29)</f>
        <v>3</v>
      </c>
      <c r="V30" s="78">
        <f>SUM(V29:V29)</f>
        <v>296825.16271299205</v>
      </c>
      <c r="W30" s="78">
        <f>SUM(W29:W29)</f>
        <v>35762.067796746036</v>
      </c>
      <c r="X30" s="79">
        <f>+X29</f>
        <v>3174.8372870079475</v>
      </c>
      <c r="Y30" s="80">
        <f>+Y29</f>
        <v>300000</v>
      </c>
      <c r="Z30" s="91" t="s">
        <v>44</v>
      </c>
    </row>
    <row r="31" spans="1:29" x14ac:dyDescent="0.3">
      <c r="Y31" s="61"/>
    </row>
    <row r="32" spans="1:29" x14ac:dyDescent="0.3">
      <c r="X32" s="92"/>
    </row>
  </sheetData>
  <sheetProtection algorithmName="SHA-512" hashValue="MXelEwkIjr+Aa8MOc4VUCi4RxCVDcrvNMnzlS/H+IQ9ntau1YvFWk1XouBT0fu06mPkZevHBGwqHJV9pv4cclg==" saltValue="lygUvgc5gkSBaOkVuqFeCQ==" spinCount="100000" sheet="1" objects="1" scenarios="1"/>
  <mergeCells count="22">
    <mergeCell ref="Z25:Z27"/>
    <mergeCell ref="A25:A27"/>
    <mergeCell ref="B25:B27"/>
    <mergeCell ref="C25:C27"/>
    <mergeCell ref="D25:D27"/>
    <mergeCell ref="X25:X27"/>
    <mergeCell ref="Y25:Y27"/>
    <mergeCell ref="Z17:Z20"/>
    <mergeCell ref="A22:A23"/>
    <mergeCell ref="B22:B23"/>
    <mergeCell ref="C22:C23"/>
    <mergeCell ref="D22:D23"/>
    <mergeCell ref="X22:X23"/>
    <mergeCell ref="Y22:Y23"/>
    <mergeCell ref="Z22:Z23"/>
    <mergeCell ref="A7:Y12"/>
    <mergeCell ref="A17:A20"/>
    <mergeCell ref="B17:B20"/>
    <mergeCell ref="C17:C20"/>
    <mergeCell ref="D17:D20"/>
    <mergeCell ref="X17:X20"/>
    <mergeCell ref="Y17:Y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Albano, Raffaele</dc:creator>
  <cp:lastModifiedBy>Albano, Raffaele</cp:lastModifiedBy>
  <dcterms:created xsi:type="dcterms:W3CDTF">2015-06-05T18:17:20Z</dcterms:created>
  <dcterms:modified xsi:type="dcterms:W3CDTF">2024-10-17T15:50:31Z</dcterms:modified>
</cp:coreProperties>
</file>